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725" windowWidth="12390" windowHeight="7470" tabRatio="621" firstSheet="21" activeTab="26"/>
  </bookViews>
  <sheets>
    <sheet name="Introduction" sheetId="1" r:id="rId1"/>
    <sheet name="RALRawDataBot" sheetId="2" r:id="rId2"/>
    <sheet name="RALRawDataTop" sheetId="3" r:id="rId3"/>
    <sheet name="RawDataInput" sheetId="4" r:id="rId4"/>
    <sheet name="MeasuredPointView" sheetId="5" r:id="rId5"/>
    <sheet name="RawData5x5Input" sheetId="6" r:id="rId6"/>
    <sheet name="StageFrame" sheetId="7" r:id="rId7"/>
    <sheet name="LocalFrame" sheetId="8" r:id="rId8"/>
    <sheet name="GlobalFrame" sheetId="9" r:id="rId9"/>
    <sheet name="RALDataSummary" sheetId="10" r:id="rId10"/>
    <sheet name="LoFacingFrame" sheetId="11" r:id="rId11"/>
    <sheet name="LoCoolingFacing" sheetId="12" r:id="rId12"/>
    <sheet name="MidplaneThickness" sheetId="13" r:id="rId13"/>
    <sheet name="MidThickView" sheetId="14" r:id="rId14"/>
    <sheet name="ModuleFrame" sheetId="15" r:id="rId15"/>
    <sheet name="ModuleView" sheetId="16" r:id="rId16"/>
    <sheet name="Transformations" sheetId="17" r:id="rId17"/>
    <sheet name="MidplaneFrame" sheetId="18" r:id="rId18"/>
    <sheet name="MidplaneFrameView" sheetId="19" r:id="rId19"/>
    <sheet name="OptimalFrame" sheetId="20" r:id="rId20"/>
    <sheet name="OptimalFrameView" sheetId="21" r:id="rId21"/>
    <sheet name="CommonProfile" sheetId="22" r:id="rId22"/>
    <sheet name="CommonProfileView" sheetId="23" r:id="rId23"/>
    <sheet name="CommonDeviations" sheetId="24" r:id="rId24"/>
    <sheet name="CommonDeviationsView" sheetId="25" r:id="rId25"/>
    <sheet name="Tolerances" sheetId="26" r:id="rId26"/>
    <sheet name="Datasheet" sheetId="27" r:id="rId27"/>
  </sheets>
  <externalReferences>
    <externalReference r:id="rId30"/>
  </externalReferences>
  <definedNames>
    <definedName name="_xlnm.Print_Area" localSheetId="24">'CommonDeviationsView'!$A$15:$M$53</definedName>
    <definedName name="_xlnm.Print_Area" localSheetId="22">'CommonProfileView'!$A$15:$M$53</definedName>
    <definedName name="_xlnm.Print_Area" localSheetId="26">'Datasheet'!$A$1:$B$38</definedName>
    <definedName name="_xlnm.Print_Area" localSheetId="0">'Introduction'!$A$64:$K$97</definedName>
    <definedName name="_xlnm.Print_Area" localSheetId="4">'MeasuredPointView'!$A$1:$O$63</definedName>
    <definedName name="_xlnm.Print_Area" localSheetId="18">'MidplaneFrameView'!$A$15:$M$53</definedName>
    <definedName name="_xlnm.Print_Area" localSheetId="13">'MidThickView'!$A$15:$M$53</definedName>
    <definedName name="_xlnm.Print_Area" localSheetId="15">'ModuleView'!$A$15:$M$53</definedName>
    <definedName name="_xlnm.Print_Area" localSheetId="20">'OptimalFrameView'!$A$15:$M$53</definedName>
  </definedNames>
  <calcPr fullCalcOnLoad="1"/>
</workbook>
</file>

<file path=xl/sharedStrings.xml><?xml version="1.0" encoding="utf-8"?>
<sst xmlns="http://schemas.openxmlformats.org/spreadsheetml/2006/main" count="1589" uniqueCount="538">
  <si>
    <t>Excel book for analyzing survey in Z</t>
  </si>
  <si>
    <t>Version</t>
  </si>
  <si>
    <t>2.4.1</t>
  </si>
  <si>
    <t>Usage</t>
  </si>
  <si>
    <t>loading commonProfile</t>
  </si>
  <si>
    <t>answer always NO for the opening prompt "update link..."</t>
  </si>
  <si>
    <t>when needed to update the commonProfile sheet, open surveyZ_commonProfile.xls file explicitly</t>
  </si>
  <si>
    <t>Version history</t>
  </si>
  <si>
    <t>Date(dd/mm/yyyy)</t>
  </si>
  <si>
    <t>1.0</t>
  </si>
  <si>
    <t>all new first</t>
  </si>
  <si>
    <t>2.0</t>
  </si>
  <si>
    <t>26/10/2001</t>
  </si>
  <si>
    <t>add fit to obtain the lower cooling facing plane to evaluate its angle to the module plane (=LoFacingFrame)</t>
  </si>
  <si>
    <t>add sensorConcavities, sensorSkews, coolingTabThickness, farTabThickness, ...</t>
  </si>
  <si>
    <t>add CommonProfile sheet, linked to surveyZ_commonProfile.xls, to show the commonProfile explicitly, and its view</t>
  </si>
  <si>
    <t>add PASS conditions and set in Datasheet sheet</t>
  </si>
  <si>
    <t>add Introduction sheet for version history and brief overview</t>
  </si>
  <si>
    <t>remove 13x25 matrix previously specifically done at KEK</t>
  </si>
  <si>
    <t>fix bug to calculate optimalMaxZerrorLower and optimalMaxZerrorUpper</t>
  </si>
  <si>
    <t>add date in CommonProfile sheet to be copied</t>
  </si>
  <si>
    <t>2.1</t>
  </si>
  <si>
    <t>21/11/2001</t>
  </si>
  <si>
    <t>add "tolerances" sheet, combining PASS conditions spread several sheets</t>
  </si>
  <si>
    <t>2.2</t>
  </si>
  <si>
    <t>05/12/2001</t>
  </si>
  <si>
    <t>add 2x3 matrix measurement of the loCoolingFacing (2x2 upCoolingFacing)</t>
  </si>
  <si>
    <t>2.2.0</t>
  </si>
  <si>
    <t>08/12/2001</t>
  </si>
  <si>
    <t>no use of 2x3 loCoolingFacing measurement, use points around the hole/slot</t>
  </si>
  <si>
    <t>2.2.1</t>
  </si>
  <si>
    <t>07/12/2001</t>
  </si>
  <si>
    <t>use of 2x3 loCoolingFacing, no mix with hole/slot</t>
  </si>
  <si>
    <t>2.2.2</t>
  </si>
  <si>
    <t>2x3  facing measurement of the loCooling side (2x2 upperCooling side) mixed with the points of hole/slot</t>
  </si>
  <si>
    <t>add a sheet to display measured points in xy</t>
  </si>
  <si>
    <t>add loCoolingFacingConcavity tolerance</t>
  </si>
  <si>
    <t>use SCT-DB insitituteCode for location</t>
  </si>
  <si>
    <t>2.3</t>
  </si>
  <si>
    <t>21/02/2002</t>
  </si>
  <si>
    <t>facing measurments according to "Metrology supplement" (with arbitrary data)</t>
  </si>
  <si>
    <t>2.3.1</t>
  </si>
  <si>
    <t>08/02/2002</t>
  </si>
  <si>
    <t>bug fix in transferring the loFacing middle points to the averaged column in RawDataInput sheet</t>
  </si>
  <si>
    <t>2.3.2</t>
  </si>
  <si>
    <t>28/02/2002</t>
  </si>
  <si>
    <t>bug fix in the tolerance sheet, C8 (-0.05 -&gt; +0.05) and D8 (if( &gt; ) -&gt; if ( &lt; ))</t>
  </si>
  <si>
    <t>2.4</t>
  </si>
  <si>
    <t>28/05/2002</t>
  </si>
  <si>
    <t>add survey of surfaces of hybrids and large capacitors</t>
  </si>
  <si>
    <t>add hybrid and large capacitor data to the datasheet</t>
  </si>
  <si>
    <t>add capMaxThickness to the tolerance list</t>
  </si>
  <si>
    <t>bug fix of the xy rotation of the upper side from Stage-&gt;LocalFrame</t>
  </si>
  <si>
    <t>29/07/2002</t>
  </si>
  <si>
    <t>add Hybrid QUALITY Check parameters in Tolerance sheet</t>
  </si>
  <si>
    <t>add columns of design and deviation in Tolerance sheet</t>
  </si>
  <si>
    <t>difference of moduleThickness from the design in Tolerance sheet</t>
  </si>
  <si>
    <t>add hyb1Gap and hyb2Gap in the Tolerance sheet</t>
  </si>
  <si>
    <t>SheetName</t>
  </si>
  <si>
    <t>Description</t>
  </si>
  <si>
    <t>RawDataInput</t>
  </si>
  <si>
    <t>site specific points of z-measurements (including cross-site points)</t>
  </si>
  <si>
    <t>(zReference points = fiducials to correlate the lower and the upper side z measurements, dummy for the moment)</t>
  </si>
  <si>
    <t>MeasuredPointView</t>
  </si>
  <si>
    <t>Plots of measured points in xy coordinates</t>
  </si>
  <si>
    <t>RawData5x5Input</t>
  </si>
  <si>
    <t>sorted-out  points of z-measurements</t>
  </si>
  <si>
    <t>StageFrame</t>
  </si>
  <si>
    <t>(x, y) of lower and upper sides of module as seen from the upper side, on the stage, and interpolating points shadowed by hybrids</t>
  </si>
  <si>
    <t>LocalFrame</t>
  </si>
  <si>
    <t>(x, y) coordinate origin at the centre of and x-axis along the pair of sensors, lower and upper side individually</t>
  </si>
  <si>
    <t>GlobalFrame</t>
  </si>
  <si>
    <t>measurement-frame slopes correction by using zReference measuremnts (null for the moment), and</t>
  </si>
  <si>
    <t>z of lower side as seen from the upper side, lowered by the thickness of sensor</t>
  </si>
  <si>
    <t>LoFacingFrame</t>
  </si>
  <si>
    <t>z as measured from the plane defined by lower facings, Z1, Z2, and Z3</t>
  </si>
  <si>
    <t>LoCooingFacing</t>
  </si>
  <si>
    <t>fitted lower cooling facing plane as seen in the LoFacingFrame</t>
  </si>
  <si>
    <t>MidplaneThickness</t>
  </si>
  <si>
    <t>calculations of Midplane = (lower+upper)/2 and Thickness = (upper - lower)</t>
  </si>
  <si>
    <t>MidThickView</t>
  </si>
  <si>
    <t>graphical view of the Midplane and Thickness</t>
  </si>
  <si>
    <t>ModuleFrame</t>
  </si>
  <si>
    <t>LoFacingFrame + midPlaneHeight = modulePlane</t>
  </si>
  <si>
    <t>ModuleView</t>
  </si>
  <si>
    <t>Transformations</t>
  </si>
  <si>
    <t>collection of transformation calculations</t>
  </si>
  <si>
    <t>MidPlaneFrame</t>
  </si>
  <si>
    <t>z from fitted midPlanes</t>
  </si>
  <si>
    <t>MidPlaneFrameView</t>
  </si>
  <si>
    <t>OptimalFrame</t>
  </si>
  <si>
    <t>z from +- half-thickness in the MidPlaneFrame</t>
  </si>
  <si>
    <t>CommonModuleProfile</t>
  </si>
  <si>
    <t>mean z profile compiled in the surveyZ_commonProfile.xls</t>
  </si>
  <si>
    <t>CommonDeviations</t>
  </si>
  <si>
    <t>difference from CommonModuleProfile</t>
  </si>
  <si>
    <t>CommonDeviationsView</t>
  </si>
  <si>
    <t>Tolerances</t>
  </si>
  <si>
    <t>collection of parameters and their tolerances, decision for PASS</t>
  </si>
  <si>
    <t>Datasheet</t>
  </si>
  <si>
    <t>collection of parameters to be stored in the database</t>
  </si>
  <si>
    <t>Parameters</t>
  </si>
  <si>
    <t>Nominal</t>
  </si>
  <si>
    <t>Tolerance</t>
  </si>
  <si>
    <t>maxZlower [mm]</t>
  </si>
  <si>
    <t>0</t>
  </si>
  <si>
    <t>abs()&lt;0.2</t>
  </si>
  <si>
    <t>lower sensor maximum deviation from ModulePlane</t>
  </si>
  <si>
    <t>maxZupper [mm]</t>
  </si>
  <si>
    <t>upper sensor maximum deviation from ModulePlane</t>
  </si>
  <si>
    <t>midplaneHeight [mm]</t>
  </si>
  <si>
    <t>0.45</t>
  </si>
  <si>
    <t>z  in LoFacingFrame (z=0)</t>
  </si>
  <si>
    <t>moduleThickness [mm]</t>
  </si>
  <si>
    <t>1.15</t>
  </si>
  <si>
    <t>diff&lt;0.1</t>
  </si>
  <si>
    <t>optimalMaxZerrorLower [mm]</t>
  </si>
  <si>
    <t>abs()&lt;0.05</t>
  </si>
  <si>
    <t>lower sensor maximum deviation from CommonModuleProfile</t>
  </si>
  <si>
    <t>optimalMaxZerrorUpper [mm]</t>
  </si>
  <si>
    <t>upper sensor maximum deviation from CommonModuleProfile</t>
  </si>
  <si>
    <t>optimalRmsZerrorLower [mm]</t>
  </si>
  <si>
    <t>abs()&lt;0.025</t>
  </si>
  <si>
    <t>lower sensor RMS deviation from CommonModuleProfile</t>
  </si>
  <si>
    <t>optimalRmsZerrorUpper [mm]</t>
  </si>
  <si>
    <t>upper sensor RMS deviation from CommonModuleProfile</t>
  </si>
  <si>
    <t>moduleConcavity x [mm]</t>
  </si>
  <si>
    <t>bow of the midPlane along the module</t>
  </si>
  <si>
    <t>y</t>
  </si>
  <si>
    <t>bow of the midPlane across the module</t>
  </si>
  <si>
    <t>sensorSkew x [mm]</t>
  </si>
  <si>
    <t>difference of z along the module at two ends</t>
  </si>
  <si>
    <t>differnece of z across the module at two ends</t>
  </si>
  <si>
    <t>coolingTabThickness [mm]</t>
  </si>
  <si>
    <t>0.92</t>
  </si>
  <si>
    <t>cooling-side tab thickness including baseboard and adhesive</t>
  </si>
  <si>
    <t>farTabThickness [mm]</t>
  </si>
  <si>
    <t>far-side tab thickness including baseboard and adhesive</t>
  </si>
  <si>
    <t>halfTabThickness [mm]</t>
  </si>
  <si>
    <t>mean half-tab thickness of cooling- and far-side</t>
  </si>
  <si>
    <t>tabSkew y [mm]</t>
  </si>
  <si>
    <t>non-zero if coolingTabThickness and farTabThickness are different</t>
  </si>
  <si>
    <t>adhesiveThicknessTotal [mm]</t>
  </si>
  <si>
    <t>total adhesive thickness, I.e., twice the thickness per side</t>
  </si>
  <si>
    <t>adhesiveAsymmetry [mm]</t>
  </si>
  <si>
    <t>difference of the adhesive thickness of two sides</t>
  </si>
  <si>
    <t>loCoolingFacing a [mrad]</t>
  </si>
  <si>
    <t>abs()&lt;0.5</t>
  </si>
  <si>
    <t>lower cooling facing angle along the module, 30 um over 60 mm</t>
  </si>
  <si>
    <t>b [mrad]</t>
  </si>
  <si>
    <t>abs()&lt;3</t>
  </si>
  <si>
    <t>lower cooling facing angle across the module, 30 um over 10 mm</t>
  </si>
  <si>
    <t>loCoolingFacingConcavity [mm]</t>
  </si>
  <si>
    <t>abs()&lt;0.03</t>
  </si>
  <si>
    <t>lower cooling facing concavity along x, 30 um over dowel hole/slot</t>
  </si>
  <si>
    <t>hyb1NearH [mm]</t>
  </si>
  <si>
    <t>1.18</t>
  </si>
  <si>
    <t>0.19</t>
  </si>
  <si>
    <t>height of the near-side surface of the upper hybrid from the upper facing</t>
  </si>
  <si>
    <t>hyb1FarH[mm]</t>
  </si>
  <si>
    <t>height of the far-side surface of the upper hybrid from the upper facing</t>
  </si>
  <si>
    <t>hyb2NearH [mm]</t>
  </si>
  <si>
    <t>height of the near-side surface of the lower hybrid from the lower facing</t>
  </si>
  <si>
    <t>hyb2FarH [mm]</t>
  </si>
  <si>
    <t>heifht of the far-side surface of the lower hybrid from the lower facing</t>
  </si>
  <si>
    <t>hyb1Concavity [mm]</t>
  </si>
  <si>
    <t>0.15</t>
  </si>
  <si>
    <t>concavity of the upper hybrid (+ : away from sensors)</t>
  </si>
  <si>
    <t>hyb2Concavity [mm]</t>
  </si>
  <si>
    <t>concavity of the lower hybrid (+ : away from sensors)</t>
  </si>
  <si>
    <t>hyb1Gap [mm]</t>
  </si>
  <si>
    <t>0.465</t>
  </si>
  <si>
    <t>0.2</t>
  </si>
  <si>
    <t>gap between sensor and hybrid of upper side</t>
  </si>
  <si>
    <t>hyb2Gap [mm]</t>
  </si>
  <si>
    <t>gap between sensor and hybrid of lower side</t>
  </si>
  <si>
    <t>hyb1CapMaxH [mm]</t>
  </si>
  <si>
    <t>2.43</t>
  </si>
  <si>
    <t>0.30</t>
  </si>
  <si>
    <t>maximum height of the large capacitors, C73, C53, C54, of the upper hybrid from the upper facing</t>
  </si>
  <si>
    <t>hyb2CapMaxH [mm]</t>
  </si>
  <si>
    <t>maximum height of the large capacitors, C74, C55, C56, of the lower hybrid from the lower facing</t>
  </si>
  <si>
    <t>hybridMaxThickness [mm]</t>
  </si>
  <si>
    <t>3.28</t>
  </si>
  <si>
    <t>0.44</t>
  </si>
  <si>
    <t>maximum thickness of the module at surface of the hybrid</t>
  </si>
  <si>
    <t>capMaxThickness [mm]</t>
  </si>
  <si>
    <t>5.78</t>
  </si>
  <si>
    <t>0.66</t>
  </si>
  <si>
    <t>maximum thickness of the module at surface of the large capacitors</t>
  </si>
  <si>
    <t>Module</t>
  </si>
  <si>
    <t>20220170200042</t>
  </si>
  <si>
    <t>Date [dd/mm/yyy]</t>
  </si>
  <si>
    <t>09/05/2002</t>
  </si>
  <si>
    <t>eventDescription</t>
  </si>
  <si>
    <t>SURVEY_Z-INITIAL</t>
  </si>
  <si>
    <t>(classification:</t>
  </si>
  <si>
    <t>SURVEY_Z-SB</t>
  </si>
  <si>
    <t>SURVEY_Z-TC</t>
  </si>
  <si>
    <t>SURVEY_Z-LT</t>
  </si>
  <si>
    <t>SURVEY_Z-IRRAD</t>
  </si>
  <si>
    <t>SURVEY_Z-OTHERS</t>
  </si>
  <si>
    <t>Comment</t>
  </si>
  <si>
    <t>FnameUpper=IN_Upper_20220170200042_KEK20020508121319.csv, FnameLower=IN_Lower_20220170200042_KEK20020508123621.csv</t>
  </si>
  <si>
    <t>Temperature [C]</t>
  </si>
  <si>
    <t>25.7</t>
  </si>
  <si>
    <t>measurementJigID</t>
  </si>
  <si>
    <t>MT2</t>
  </si>
  <si>
    <t>Data sequence</t>
  </si>
  <si>
    <t>5x5 sensor scan</t>
  </si>
  <si>
    <t>Facings</t>
  </si>
  <si>
    <t>Lower side</t>
  </si>
  <si>
    <t>Upper side</t>
  </si>
  <si>
    <r>
      <t>1</t>
    </r>
    <r>
      <rPr>
        <sz val="9"/>
        <rFont val="Osaka"/>
        <family val="3"/>
      </rPr>
      <t>Çò</t>
    </r>
  </si>
  <si>
    <t>Left 5x5</t>
  </si>
  <si>
    <t>Å@Çô</t>
  </si>
  <si>
    <t>Å@Çö</t>
  </si>
  <si>
    <r>
      <t>2</t>
    </r>
    <r>
      <rPr>
        <sz val="9"/>
        <rFont val="Osaka"/>
        <family val="3"/>
      </rPr>
      <t>Çò</t>
    </r>
  </si>
  <si>
    <r>
      <t>3</t>
    </r>
    <r>
      <rPr>
        <sz val="9"/>
        <rFont val="Osaka"/>
        <family val="3"/>
      </rPr>
      <t>Çò</t>
    </r>
  </si>
  <si>
    <r>
      <t>4</t>
    </r>
    <r>
      <rPr>
        <sz val="9"/>
        <rFont val="Osaka"/>
        <family val="3"/>
      </rPr>
      <t>Çò</t>
    </r>
  </si>
  <si>
    <r>
      <t>5</t>
    </r>
    <r>
      <rPr>
        <sz val="9"/>
        <rFont val="Osaka"/>
        <family val="3"/>
      </rPr>
      <t>Çò</t>
    </r>
  </si>
  <si>
    <r>
      <t>6</t>
    </r>
    <r>
      <rPr>
        <sz val="9"/>
        <rFont val="Osaka"/>
        <family val="3"/>
      </rPr>
      <t>Çò</t>
    </r>
  </si>
  <si>
    <r>
      <t>7</t>
    </r>
    <r>
      <rPr>
        <sz val="9"/>
        <rFont val="Osaka"/>
        <family val="3"/>
      </rPr>
      <t>Çò</t>
    </r>
  </si>
  <si>
    <r>
      <t>8</t>
    </r>
    <r>
      <rPr>
        <sz val="9"/>
        <rFont val="Osaka"/>
        <family val="3"/>
      </rPr>
      <t>Çò</t>
    </r>
  </si>
  <si>
    <r>
      <t>9</t>
    </r>
    <r>
      <rPr>
        <sz val="9"/>
        <rFont val="Osaka"/>
        <family val="3"/>
      </rPr>
      <t>Çò</t>
    </r>
  </si>
  <si>
    <r>
      <t>10</t>
    </r>
    <r>
      <rPr>
        <sz val="9"/>
        <rFont val="Osaka"/>
        <family val="3"/>
      </rPr>
      <t>Çò</t>
    </r>
  </si>
  <si>
    <r>
      <t>11</t>
    </r>
    <r>
      <rPr>
        <sz val="9"/>
        <rFont val="Osaka"/>
        <family val="3"/>
      </rPr>
      <t>Çò</t>
    </r>
  </si>
  <si>
    <r>
      <t>12</t>
    </r>
    <r>
      <rPr>
        <sz val="9"/>
        <rFont val="Osaka"/>
        <family val="3"/>
      </rPr>
      <t>Çò</t>
    </r>
  </si>
  <si>
    <r>
      <t>13</t>
    </r>
    <r>
      <rPr>
        <sz val="9"/>
        <rFont val="Osaka"/>
        <family val="3"/>
      </rPr>
      <t>Çò</t>
    </r>
  </si>
  <si>
    <r>
      <t>14</t>
    </r>
    <r>
      <rPr>
        <sz val="9"/>
        <rFont val="Osaka"/>
        <family val="3"/>
      </rPr>
      <t>Çò</t>
    </r>
  </si>
  <si>
    <r>
      <t>15</t>
    </r>
    <r>
      <rPr>
        <sz val="9"/>
        <rFont val="Osaka"/>
        <family val="3"/>
      </rPr>
      <t>Çò</t>
    </r>
  </si>
  <si>
    <r>
      <t>16</t>
    </r>
    <r>
      <rPr>
        <sz val="9"/>
        <rFont val="Osaka"/>
        <family val="3"/>
      </rPr>
      <t>Çò</t>
    </r>
  </si>
  <si>
    <r>
      <t>17</t>
    </r>
    <r>
      <rPr>
        <sz val="9"/>
        <rFont val="Osaka"/>
        <family val="3"/>
      </rPr>
      <t>Çò</t>
    </r>
  </si>
  <si>
    <r>
      <t>18</t>
    </r>
    <r>
      <rPr>
        <sz val="9"/>
        <rFont val="Osaka"/>
        <family val="3"/>
      </rPr>
      <t>Çò</t>
    </r>
  </si>
  <si>
    <r>
      <t>19</t>
    </r>
    <r>
      <rPr>
        <sz val="9"/>
        <rFont val="Osaka"/>
        <family val="3"/>
      </rPr>
      <t>Çò</t>
    </r>
  </si>
  <si>
    <r>
      <t>20</t>
    </r>
    <r>
      <rPr>
        <sz val="9"/>
        <rFont val="Osaka"/>
        <family val="3"/>
      </rPr>
      <t>Çò</t>
    </r>
  </si>
  <si>
    <r>
      <t>21</t>
    </r>
    <r>
      <rPr>
        <sz val="9"/>
        <rFont val="Osaka"/>
        <family val="3"/>
      </rPr>
      <t>Çò</t>
    </r>
  </si>
  <si>
    <r>
      <t>22</t>
    </r>
    <r>
      <rPr>
        <sz val="9"/>
        <rFont val="Osaka"/>
        <family val="3"/>
      </rPr>
      <t>Çò</t>
    </r>
  </si>
  <si>
    <r>
      <t>23</t>
    </r>
    <r>
      <rPr>
        <sz val="9"/>
        <rFont val="Osaka"/>
        <family val="3"/>
      </rPr>
      <t>Çò</t>
    </r>
  </si>
  <si>
    <r>
      <t>24</t>
    </r>
    <r>
      <rPr>
        <sz val="9"/>
        <rFont val="Osaka"/>
        <family val="3"/>
      </rPr>
      <t>Çò</t>
    </r>
  </si>
  <si>
    <r>
      <t>25</t>
    </r>
    <r>
      <rPr>
        <sz val="9"/>
        <rFont val="Osaka"/>
        <family val="3"/>
      </rPr>
      <t>Çò</t>
    </r>
  </si>
  <si>
    <r>
      <t>26</t>
    </r>
    <r>
      <rPr>
        <sz val="9"/>
        <rFont val="Osaka"/>
        <family val="3"/>
      </rPr>
      <t>Çò</t>
    </r>
  </si>
  <si>
    <t>Right 5x5</t>
  </si>
  <si>
    <r>
      <t>27</t>
    </r>
    <r>
      <rPr>
        <sz val="9"/>
        <rFont val="Osaka"/>
        <family val="3"/>
      </rPr>
      <t>Çò</t>
    </r>
  </si>
  <si>
    <r>
      <t>28</t>
    </r>
    <r>
      <rPr>
        <sz val="9"/>
        <rFont val="Osaka"/>
        <family val="3"/>
      </rPr>
      <t>Çò</t>
    </r>
  </si>
  <si>
    <r>
      <t>29</t>
    </r>
    <r>
      <rPr>
        <sz val="9"/>
        <rFont val="Osaka"/>
        <family val="3"/>
      </rPr>
      <t>Çò</t>
    </r>
  </si>
  <si>
    <r>
      <t>30</t>
    </r>
    <r>
      <rPr>
        <sz val="9"/>
        <rFont val="Osaka"/>
        <family val="3"/>
      </rPr>
      <t>Çò</t>
    </r>
  </si>
  <si>
    <r>
      <t>31</t>
    </r>
    <r>
      <rPr>
        <sz val="9"/>
        <rFont val="Osaka"/>
        <family val="3"/>
      </rPr>
      <t>Çò</t>
    </r>
  </si>
  <si>
    <r>
      <t>32</t>
    </r>
    <r>
      <rPr>
        <sz val="9"/>
        <rFont val="Osaka"/>
        <family val="3"/>
      </rPr>
      <t>Çò</t>
    </r>
  </si>
  <si>
    <r>
      <t>33</t>
    </r>
    <r>
      <rPr>
        <sz val="9"/>
        <rFont val="Osaka"/>
        <family val="3"/>
      </rPr>
      <t>Çò</t>
    </r>
  </si>
  <si>
    <r>
      <t>34</t>
    </r>
    <r>
      <rPr>
        <sz val="9"/>
        <rFont val="Osaka"/>
        <family val="3"/>
      </rPr>
      <t>Çò</t>
    </r>
  </si>
  <si>
    <r>
      <t>35</t>
    </r>
    <r>
      <rPr>
        <sz val="9"/>
        <rFont val="Osaka"/>
        <family val="3"/>
      </rPr>
      <t>Çò</t>
    </r>
  </si>
  <si>
    <r>
      <t>36</t>
    </r>
    <r>
      <rPr>
        <sz val="9"/>
        <rFont val="Osaka"/>
        <family val="3"/>
      </rPr>
      <t>Çò</t>
    </r>
  </si>
  <si>
    <r>
      <t>37</t>
    </r>
    <r>
      <rPr>
        <sz val="9"/>
        <rFont val="Osaka"/>
        <family val="3"/>
      </rPr>
      <t>Çò</t>
    </r>
  </si>
  <si>
    <r>
      <t>38</t>
    </r>
    <r>
      <rPr>
        <sz val="9"/>
        <rFont val="Osaka"/>
        <family val="3"/>
      </rPr>
      <t>Çò</t>
    </r>
  </si>
  <si>
    <r>
      <t>39</t>
    </r>
    <r>
      <rPr>
        <sz val="9"/>
        <rFont val="Osaka"/>
        <family val="3"/>
      </rPr>
      <t>Çò</t>
    </r>
  </si>
  <si>
    <r>
      <t>40</t>
    </r>
    <r>
      <rPr>
        <sz val="9"/>
        <rFont val="Osaka"/>
        <family val="3"/>
      </rPr>
      <t>Çò</t>
    </r>
  </si>
  <si>
    <r>
      <t>41</t>
    </r>
    <r>
      <rPr>
        <sz val="9"/>
        <rFont val="Osaka"/>
        <family val="3"/>
      </rPr>
      <t>Çò</t>
    </r>
  </si>
  <si>
    <r>
      <t>42</t>
    </r>
    <r>
      <rPr>
        <sz val="9"/>
        <rFont val="Osaka"/>
        <family val="3"/>
      </rPr>
      <t>Çò</t>
    </r>
  </si>
  <si>
    <r>
      <t>43</t>
    </r>
    <r>
      <rPr>
        <sz val="9"/>
        <rFont val="Osaka"/>
        <family val="3"/>
      </rPr>
      <t>Çò</t>
    </r>
  </si>
  <si>
    <r>
      <t>44</t>
    </r>
    <r>
      <rPr>
        <sz val="9"/>
        <rFont val="Osaka"/>
        <family val="3"/>
      </rPr>
      <t>Çò</t>
    </r>
  </si>
  <si>
    <r>
      <t>45</t>
    </r>
    <r>
      <rPr>
        <sz val="9"/>
        <rFont val="Osaka"/>
        <family val="3"/>
      </rPr>
      <t>Çò</t>
    </r>
  </si>
  <si>
    <r>
      <t>46</t>
    </r>
    <r>
      <rPr>
        <sz val="9"/>
        <rFont val="Osaka"/>
        <family val="3"/>
      </rPr>
      <t>Çò</t>
    </r>
  </si>
  <si>
    <r>
      <t>47</t>
    </r>
    <r>
      <rPr>
        <sz val="9"/>
        <rFont val="Osaka"/>
        <family val="3"/>
      </rPr>
      <t>Çò</t>
    </r>
  </si>
  <si>
    <r>
      <t>48</t>
    </r>
    <r>
      <rPr>
        <sz val="9"/>
        <rFont val="Osaka"/>
        <family val="3"/>
      </rPr>
      <t>Çò</t>
    </r>
  </si>
  <si>
    <r>
      <t>49</t>
    </r>
    <r>
      <rPr>
        <sz val="9"/>
        <rFont val="Osaka"/>
        <family val="3"/>
      </rPr>
      <t>Çò</t>
    </r>
  </si>
  <si>
    <r>
      <t>50</t>
    </r>
    <r>
      <rPr>
        <sz val="9"/>
        <rFont val="Osaka"/>
        <family val="3"/>
      </rPr>
      <t>Çò</t>
    </r>
  </si>
  <si>
    <r>
      <t>51</t>
    </r>
    <r>
      <rPr>
        <sz val="9"/>
        <rFont val="Osaka"/>
        <family val="3"/>
      </rPr>
      <t>Çò</t>
    </r>
  </si>
  <si>
    <t>FarFacing(average)</t>
  </si>
  <si>
    <r>
      <t>52</t>
    </r>
    <r>
      <rPr>
        <sz val="9"/>
        <rFont val="Osaka"/>
        <family val="3"/>
      </rPr>
      <t>Çò</t>
    </r>
  </si>
  <si>
    <r>
      <t>53</t>
    </r>
    <r>
      <rPr>
        <sz val="9"/>
        <rFont val="Osaka"/>
        <family val="3"/>
      </rPr>
      <t>Çò</t>
    </r>
  </si>
  <si>
    <r>
      <t>54</t>
    </r>
    <r>
      <rPr>
        <sz val="9"/>
        <rFont val="Osaka"/>
        <family val="3"/>
      </rPr>
      <t>Çò</t>
    </r>
  </si>
  <si>
    <t>NearFacing1(average)</t>
  </si>
  <si>
    <r>
      <t>55</t>
    </r>
    <r>
      <rPr>
        <sz val="9"/>
        <rFont val="Osaka"/>
        <family val="3"/>
      </rPr>
      <t>Çò</t>
    </r>
  </si>
  <si>
    <t>NearFacing2(average)</t>
  </si>
  <si>
    <r>
      <t>56</t>
    </r>
    <r>
      <rPr>
        <sz val="9"/>
        <rFont val="Osaka"/>
        <family val="3"/>
      </rPr>
      <t>Çò</t>
    </r>
  </si>
  <si>
    <t>NearFacingLeft 3 points</t>
  </si>
  <si>
    <r>
      <t>57</t>
    </r>
    <r>
      <rPr>
        <sz val="9"/>
        <rFont val="Osaka"/>
        <family val="3"/>
      </rPr>
      <t>Çò</t>
    </r>
  </si>
  <si>
    <r>
      <t>58</t>
    </r>
    <r>
      <rPr>
        <sz val="9"/>
        <rFont val="Osaka"/>
        <family val="3"/>
      </rPr>
      <t>Çò</t>
    </r>
  </si>
  <si>
    <r>
      <t>59</t>
    </r>
    <r>
      <rPr>
        <sz val="9"/>
        <rFont val="Osaka"/>
        <family val="3"/>
      </rPr>
      <t>Çò</t>
    </r>
  </si>
  <si>
    <t>NearFacingRight 3 points</t>
  </si>
  <si>
    <r>
      <t>60</t>
    </r>
    <r>
      <rPr>
        <sz val="9"/>
        <rFont val="Osaka"/>
        <family val="3"/>
      </rPr>
      <t>Çò</t>
    </r>
  </si>
  <si>
    <r>
      <t>61</t>
    </r>
    <r>
      <rPr>
        <sz val="9"/>
        <rFont val="Osaka"/>
        <family val="3"/>
      </rPr>
      <t>Çò</t>
    </r>
  </si>
  <si>
    <r>
      <t>62</t>
    </r>
    <r>
      <rPr>
        <sz val="9"/>
        <rFont val="Osaka"/>
        <family val="3"/>
      </rPr>
      <t>Çò</t>
    </r>
  </si>
  <si>
    <t>NearFacingMiddle 2 points</t>
  </si>
  <si>
    <r>
      <t>63</t>
    </r>
    <r>
      <rPr>
        <sz val="9"/>
        <rFont val="Osaka"/>
        <family val="3"/>
      </rPr>
      <t>Çò</t>
    </r>
  </si>
  <si>
    <r>
      <t>64</t>
    </r>
    <r>
      <rPr>
        <sz val="9"/>
        <rFont val="Osaka"/>
        <family val="3"/>
      </rPr>
      <t>Çò</t>
    </r>
  </si>
  <si>
    <r>
      <t>65</t>
    </r>
    <r>
      <rPr>
        <sz val="9"/>
        <rFont val="Osaka"/>
        <family val="3"/>
      </rPr>
      <t>Çò</t>
    </r>
  </si>
  <si>
    <r>
      <t>66</t>
    </r>
    <r>
      <rPr>
        <sz val="9"/>
        <rFont val="Osaka"/>
        <family val="3"/>
      </rPr>
      <t>Çò</t>
    </r>
  </si>
  <si>
    <r>
      <t>67</t>
    </r>
    <r>
      <rPr>
        <sz val="9"/>
        <rFont val="Osaka"/>
        <family val="3"/>
      </rPr>
      <t>Çò</t>
    </r>
  </si>
  <si>
    <t>68 x</t>
  </si>
  <si>
    <t>hybLeftNear x</t>
  </si>
  <si>
    <t>z</t>
  </si>
  <si>
    <t>69 x</t>
  </si>
  <si>
    <t>hybRightNear x</t>
  </si>
  <si>
    <t>70 x</t>
  </si>
  <si>
    <t>hybLeftMiddle x</t>
  </si>
  <si>
    <t>71 x</t>
  </si>
  <si>
    <t>hybRightMiddle x</t>
  </si>
  <si>
    <t>72 x</t>
  </si>
  <si>
    <t>hybLeftFar x</t>
  </si>
  <si>
    <t>73 x</t>
  </si>
  <si>
    <t>hybRightFar x</t>
  </si>
  <si>
    <t>74 x</t>
  </si>
  <si>
    <t>hybC74C73 x</t>
  </si>
  <si>
    <t>75 x</t>
  </si>
  <si>
    <t>hybC55C53 x</t>
  </si>
  <si>
    <t>76 x</t>
  </si>
  <si>
    <t>hybC56C54 x</t>
  </si>
  <si>
    <t>Measured point view in xy coordinates</t>
  </si>
  <si>
    <t>Lower</t>
  </si>
  <si>
    <t>Upper</t>
  </si>
  <si>
    <t>x</t>
  </si>
  <si>
    <t>RawData</t>
  </si>
  <si>
    <t>Left5x5</t>
  </si>
  <si>
    <t>Right5x5</t>
  </si>
  <si>
    <t>NearFacing1(Z1)</t>
  </si>
  <si>
    <t>NearFacing2(Z2)</t>
  </si>
  <si>
    <t>FarFacing(Z3)</t>
  </si>
  <si>
    <t>zReference1</t>
  </si>
  <si>
    <t>(dummies for this particular measurement)</t>
  </si>
  <si>
    <t>zReference2</t>
  </si>
  <si>
    <t>zReference3</t>
  </si>
  <si>
    <t>hybLeftNear</t>
  </si>
  <si>
    <t>hybRightNear</t>
  </si>
  <si>
    <t>hybLeftMiddle</t>
  </si>
  <si>
    <t>hybRightMiddle</t>
  </si>
  <si>
    <t>hybLeftFar</t>
  </si>
  <si>
    <t>hybRightFar</t>
  </si>
  <si>
    <t>hybC74C73</t>
  </si>
  <si>
    <t>hybC55C53</t>
  </si>
  <si>
    <t>hybC56C54</t>
  </si>
  <si>
    <t>Y-&gt; -Y</t>
  </si>
  <si>
    <t>LeftSensor</t>
  </si>
  <si>
    <t>(x,y,z) form because of plane calculations</t>
  </si>
  <si>
    <t>RightSensor</t>
  </si>
  <si>
    <t>Shadowed by hybrid -&gt; interporation with neighbors</t>
  </si>
  <si>
    <t>facingPlane</t>
  </si>
  <si>
    <t>zReference</t>
  </si>
  <si>
    <t>hybrid</t>
  </si>
  <si>
    <t>leftNear</t>
  </si>
  <si>
    <t>rightNear</t>
  </si>
  <si>
    <t>leftMIddle</t>
  </si>
  <si>
    <t>rightMiddle</t>
  </si>
  <si>
    <t>leftFar</t>
  </si>
  <si>
    <t>rightFar</t>
  </si>
  <si>
    <t>C74C73</t>
  </si>
  <si>
    <t>C55C53</t>
  </si>
  <si>
    <t>C56C54</t>
  </si>
  <si>
    <t>Stage-&gt;LocalFrame</t>
  </si>
  <si>
    <t>Local-&gt;GlobalFrame</t>
  </si>
  <si>
    <t>sensorThickness</t>
  </si>
  <si>
    <t>Z-&gt; -Z -thickness</t>
  </si>
  <si>
    <t>Global-&gt;LowerFacingFrame</t>
  </si>
  <si>
    <t>LoCoolingFacingConcavity [mm]</t>
  </si>
  <si>
    <t>average</t>
  </si>
  <si>
    <t>left</t>
  </si>
  <si>
    <t>right</t>
  </si>
  <si>
    <t>hyb1MidH [mm]</t>
  </si>
  <si>
    <t>hyb1FarH [mm]</t>
  </si>
  <si>
    <t>hyb2MidH [mm]</t>
  </si>
  <si>
    <t>Lower Cooling Facing Plane as seen from the loFacingFrame</t>
  </si>
  <si>
    <t>Lower Cooling Facing</t>
  </si>
  <si>
    <t>z=ax+by+c</t>
  </si>
  <si>
    <t>x*x</t>
  </si>
  <si>
    <t>y*y</t>
  </si>
  <si>
    <t>x*y</t>
  </si>
  <si>
    <t>z*x</t>
  </si>
  <si>
    <t>z*y</t>
  </si>
  <si>
    <t>Matrix</t>
  </si>
  <si>
    <t>InvMatrix</t>
  </si>
  <si>
    <t>Z</t>
  </si>
  <si>
    <t>A=(a,b,c)</t>
  </si>
  <si>
    <t>[mrad]</t>
  </si>
  <si>
    <t>cosA</t>
  </si>
  <si>
    <t>LowerFacingFrame</t>
  </si>
  <si>
    <t>Midplane</t>
  </si>
  <si>
    <t>Thickness</t>
  </si>
  <si>
    <t>moduleConcavity [mm]</t>
  </si>
  <si>
    <t>sensorSkew [mm]</t>
  </si>
  <si>
    <t>midPlaneHeight [mm]</t>
  </si>
  <si>
    <t>ModuleThickness calculation area</t>
  </si>
  <si>
    <t>halfThickness [mm]</t>
  </si>
  <si>
    <t>halfCoolingTabThickness [mm]</t>
  </si>
  <si>
    <t>halfFarTabThickness [mm]</t>
  </si>
  <si>
    <t>sensorThickness nominal [mm]</t>
  </si>
  <si>
    <t>facingThickness nominal [mm]</t>
  </si>
  <si>
    <t>x\y</t>
  </si>
  <si>
    <t>LowerFacing-&gt;ModuleFrame</t>
  </si>
  <si>
    <t>midplaneHeight</t>
  </si>
  <si>
    <t>Z-&gt; Z-midHeight</t>
  </si>
  <si>
    <t>measure</t>
  </si>
  <si>
    <t>maxZlower</t>
  </si>
  <si>
    <t>maxZupper</t>
  </si>
  <si>
    <t>xyReference</t>
  </si>
  <si>
    <t>x0</t>
  </si>
  <si>
    <t>y0</t>
  </si>
  <si>
    <t>xL</t>
  </si>
  <si>
    <t>yL</t>
  </si>
  <si>
    <t>xR</t>
  </si>
  <si>
    <t>yR</t>
  </si>
  <si>
    <t>theta</t>
  </si>
  <si>
    <t>theta/2</t>
  </si>
  <si>
    <t>cosR</t>
  </si>
  <si>
    <t>sinR</t>
  </si>
  <si>
    <t>LeftMidPlane</t>
  </si>
  <si>
    <t>RightMidPlane</t>
  </si>
  <si>
    <t>LowerFacing-&gt;MidplaneFrame</t>
  </si>
  <si>
    <t>Z-&gt;Z-Midplane</t>
  </si>
  <si>
    <t>Z-&gt; Z-Midplane</t>
  </si>
  <si>
    <t>MidplaneFrame</t>
  </si>
  <si>
    <t>Midplane-&gt;OptimalFrame</t>
  </si>
  <si>
    <t>moduleThickness</t>
  </si>
  <si>
    <t>Z-&gt;Z-HalfTh</t>
  </si>
  <si>
    <t>Z-&gt; Z-HalfTh</t>
  </si>
  <si>
    <t>zCommonProfile111.xls</t>
  </si>
  <si>
    <t>Date</t>
  </si>
  <si>
    <t>16/2/2002</t>
  </si>
  <si>
    <t>ModuleThickness</t>
  </si>
  <si>
    <t>CommonModuleProfileView</t>
  </si>
  <si>
    <t>OptimalFrame-CommonModuleProfile</t>
  </si>
  <si>
    <t>optimal</t>
  </si>
  <si>
    <t>diffModuleThickness</t>
  </si>
  <si>
    <t>maxZerrorLower</t>
  </si>
  <si>
    <t>maxZerrorUpper</t>
  </si>
  <si>
    <t>rmsZerrorLower</t>
  </si>
  <si>
    <t>rmsZerrorUpper</t>
  </si>
  <si>
    <t>Tolerance summary</t>
  </si>
  <si>
    <t>design</t>
  </si>
  <si>
    <t>deviation</t>
  </si>
  <si>
    <t>tolerance</t>
  </si>
  <si>
    <t>PASS</t>
  </si>
  <si>
    <t>optimalRMSZerrorLower [mm]</t>
  </si>
  <si>
    <t>optimalRMSZerrorUpper [mm]</t>
  </si>
  <si>
    <t>Hybrid check</t>
  </si>
  <si>
    <t>QUALITY</t>
  </si>
  <si>
    <t>hyb1LeftNearH [mm]</t>
  </si>
  <si>
    <t>hyb1RightNearH [mm]</t>
  </si>
  <si>
    <t>hyb1LeftFarH [mm]</t>
  </si>
  <si>
    <t>hyb1RightFarH [mm]</t>
  </si>
  <si>
    <t>hyb2LeftNearH [mm]</t>
  </si>
  <si>
    <t>hyb2RightNearH [mm]</t>
  </si>
  <si>
    <t>hyb2LeftFarH [mm]</t>
  </si>
  <si>
    <t>hyb2RightFarH [mm]</t>
  </si>
  <si>
    <t>date [dd/mm/yyy]</t>
  </si>
  <si>
    <t>problem [YES/NO]</t>
  </si>
  <si>
    <t>pass [YES/NO]</t>
  </si>
  <si>
    <t>midplaneEq</t>
  </si>
  <si>
    <t>Left a</t>
  </si>
  <si>
    <t>b</t>
  </si>
  <si>
    <t>c</t>
  </si>
  <si>
    <t>Right a</t>
  </si>
  <si>
    <t>optimalFrameRawDATA</t>
  </si>
  <si>
    <t>leftLower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</si>
  <si>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</si>
  <si>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</si>
  <si>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</si>
  <si>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</si>
  <si>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</si>
  <si>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</si>
  <si>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</si>
  <si>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</si>
  <si>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</si>
  <si>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</si>
  <si>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</si>
  <si>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</si>
  <si>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</si>
  <si>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</si>
  <si>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</si>
  <si>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</si>
  <si>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</si>
  <si>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</si>
  <si>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</si>
  <si>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</si>
  <si>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</si>
  <si>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</si>
  <si>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</si>
  <si>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</si>
  <si>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</si>
  <si>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rightLower</t>
  </si>
  <si>
    <t>leftUpper</t>
  </si>
  <si>
    <t>rightUpper</t>
  </si>
  <si>
    <t>S2.t</t>
  </si>
  <si>
    <t>Step</t>
  </si>
  <si>
    <t>Y/A Location</t>
  </si>
  <si>
    <t>Z Location</t>
  </si>
  <si>
    <t>Size</t>
  </si>
  <si>
    <t>Reference</t>
  </si>
  <si>
    <t>====</t>
  </si>
  <si>
    <t>==========</t>
  </si>
  <si>
    <t>===========</t>
  </si>
  <si>
    <t>Point</t>
  </si>
  <si>
    <t>Origin</t>
  </si>
  <si>
    <t>Circle</t>
  </si>
  <si>
    <t>Align</t>
  </si>
  <si>
    <t>Plane</t>
  </si>
  <si>
    <t>Datum Plane</t>
  </si>
  <si>
    <t>S2.b</t>
  </si>
  <si>
    <t>Upper Left</t>
  </si>
  <si>
    <t>Upper Right</t>
  </si>
  <si>
    <t>Upper Hybrid</t>
  </si>
  <si>
    <t>Upper Capacitors</t>
  </si>
  <si>
    <t>Upper Facing Far</t>
  </si>
  <si>
    <t>Upper Facing Near</t>
  </si>
  <si>
    <t>Lower Left</t>
  </si>
  <si>
    <t>Lower Right</t>
  </si>
  <si>
    <t>Lower Hybrid</t>
  </si>
  <si>
    <t>Lower Capacitors</t>
  </si>
  <si>
    <t>Lower Facing Far</t>
  </si>
  <si>
    <t>Lower Facing Near</t>
  </si>
  <si>
    <t>Z1</t>
  </si>
  <si>
    <t>Z2</t>
  </si>
  <si>
    <t>Z3</t>
  </si>
  <si>
    <t xml:space="preserve"> </t>
  </si>
  <si>
    <t>Upper Reference Points</t>
  </si>
  <si>
    <t>Lower Reference Points</t>
  </si>
  <si>
    <t>op.profile.hyb</t>
  </si>
  <si>
    <t>Feature</t>
  </si>
  <si>
    <t>X/R Location</t>
  </si>
  <si>
    <t>==============</t>
  </si>
  <si>
    <t>===============</t>
  </si>
  <si>
    <t>ot.profile.hyb</t>
  </si>
  <si>
    <t>Upper Facing Plane</t>
  </si>
  <si>
    <t>Lower facing Plane</t>
  </si>
  <si>
    <t>AtlasModule ID</t>
  </si>
  <si>
    <t>MtrologtDescription</t>
  </si>
  <si>
    <t>Initials</t>
  </si>
  <si>
    <t>Instutute</t>
  </si>
  <si>
    <t>Temperature</t>
  </si>
  <si>
    <t>Measuring Jig</t>
  </si>
  <si>
    <t>Comments</t>
  </si>
  <si>
    <t>Final</t>
  </si>
  <si>
    <t>RAL</t>
  </si>
  <si>
    <t>SJM</t>
  </si>
  <si>
    <t>================</t>
  </si>
  <si>
    <t>.MJ3.RTN j5 202</t>
  </si>
  <si>
    <t>20330200099 Ozy</t>
  </si>
  <si>
    <t>27/03/03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</si>
</sst>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[&lt;=999]000;[&lt;=99999]000\-00;000\-0000"/>
    <numFmt numFmtId="185" formatCode="0.000E+00"/>
    <numFmt numFmtId="186" formatCode="0.0000_ "/>
    <numFmt numFmtId="187" formatCode="0.0_ "/>
    <numFmt numFmtId="188" formatCode="0.00_ "/>
    <numFmt numFmtId="189" formatCode="0.0000_ ;[Red]\-0.0000\ "/>
    <numFmt numFmtId="190" formatCode="0.0_ ;[Red]\-0.0\ "/>
    <numFmt numFmtId="191" formatCode="0.000_ "/>
    <numFmt numFmtId="192" formatCode="0.00000_ "/>
    <numFmt numFmtId="193" formatCode="0.000_);[Red]\(0.000\)"/>
    <numFmt numFmtId="194" formatCode="0.000"/>
    <numFmt numFmtId="195" formatCode="0.0000000000"/>
  </numFmts>
  <fonts count="13">
    <font>
      <sz val="9"/>
      <name val="Helv"/>
      <family val="2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9"/>
      <name val="Osaka"/>
      <family val="3"/>
    </font>
    <font>
      <u val="single"/>
      <sz val="11"/>
      <color indexed="12"/>
      <name val="ÇlÇr ÇoÉSÉVÉbÉN"/>
      <family val="3"/>
    </font>
    <font>
      <u val="single"/>
      <sz val="11"/>
      <color indexed="36"/>
      <name val="ÇlÇr ÇoÉSÉVÉbÉN"/>
      <family val="3"/>
    </font>
    <font>
      <sz val="8"/>
      <name val="Helv"/>
      <family val="2"/>
    </font>
    <font>
      <sz val="9"/>
      <color indexed="10"/>
      <name val="Helv"/>
      <family val="2"/>
    </font>
    <font>
      <b/>
      <sz val="9"/>
      <name val="Helv"/>
      <family val="2"/>
    </font>
    <font>
      <sz val="10"/>
      <name val="Helv"/>
      <family val="0"/>
    </font>
    <font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4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5" borderId="0" xfId="0" applyFont="1" applyFill="1" applyBorder="1" applyAlignment="1">
      <alignment horizontal="right"/>
    </xf>
    <xf numFmtId="0" fontId="0" fillId="6" borderId="0" xfId="0" applyFont="1" applyFill="1" applyBorder="1" applyAlignment="1">
      <alignment horizontal="right"/>
    </xf>
    <xf numFmtId="49" fontId="0" fillId="0" borderId="0" xfId="0" applyNumberFormat="1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87" fontId="0" fillId="0" borderId="0" xfId="0" applyNumberFormat="1" applyAlignment="1">
      <alignment/>
    </xf>
    <xf numFmtId="191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91" fontId="0" fillId="0" borderId="0" xfId="0" applyNumberFormat="1" applyAlignment="1">
      <alignment horizontal="right"/>
    </xf>
    <xf numFmtId="0" fontId="0" fillId="7" borderId="0" xfId="0" applyFill="1" applyAlignment="1">
      <alignment/>
    </xf>
    <xf numFmtId="49" fontId="0" fillId="0" borderId="0" xfId="0" applyNumberFormat="1" applyFont="1" applyAlignment="1">
      <alignment/>
    </xf>
    <xf numFmtId="49" fontId="0" fillId="0" borderId="2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49" fontId="0" fillId="0" borderId="0" xfId="0" applyNumberFormat="1" applyFont="1" applyAlignment="1">
      <alignment horizontal="right"/>
    </xf>
    <xf numFmtId="191" fontId="0" fillId="0" borderId="0" xfId="0" applyNumberFormat="1" applyBorder="1" applyAlignment="1">
      <alignment/>
    </xf>
    <xf numFmtId="49" fontId="0" fillId="0" borderId="0" xfId="0" applyNumberFormat="1" applyAlignment="1">
      <alignment horizontal="left"/>
    </xf>
    <xf numFmtId="191" fontId="0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6" xfId="0" applyBorder="1" applyAlignment="1">
      <alignment horizontal="right"/>
    </xf>
    <xf numFmtId="0" fontId="5" fillId="8" borderId="12" xfId="0" applyFont="1" applyFill="1" applyBorder="1" applyAlignment="1">
      <alignment horizontal="right"/>
    </xf>
    <xf numFmtId="0" fontId="0" fillId="8" borderId="6" xfId="0" applyFill="1" applyBorder="1" applyAlignment="1">
      <alignment horizontal="right"/>
    </xf>
    <xf numFmtId="0" fontId="5" fillId="8" borderId="9" xfId="0" applyFont="1" applyFill="1" applyBorder="1" applyAlignment="1">
      <alignment horizontal="right"/>
    </xf>
    <xf numFmtId="49" fontId="9" fillId="0" borderId="0" xfId="0" applyNumberFormat="1" applyFont="1" applyBorder="1" applyAlignment="1">
      <alignment horizontal="left"/>
    </xf>
    <xf numFmtId="49" fontId="10" fillId="0" borderId="0" xfId="0" applyNumberFormat="1" applyFont="1" applyAlignment="1">
      <alignment/>
    </xf>
    <xf numFmtId="0" fontId="0" fillId="7" borderId="6" xfId="0" applyFill="1" applyBorder="1" applyAlignment="1">
      <alignment horizontal="right"/>
    </xf>
    <xf numFmtId="0" fontId="5" fillId="7" borderId="9" xfId="0" applyFont="1" applyFill="1" applyBorder="1" applyAlignment="1">
      <alignment horizontal="right"/>
    </xf>
    <xf numFmtId="0" fontId="5" fillId="7" borderId="12" xfId="0" applyFont="1" applyFill="1" applyBorder="1" applyAlignment="1">
      <alignment horizontal="right"/>
    </xf>
    <xf numFmtId="49" fontId="1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1" fontId="0" fillId="0" borderId="0" xfId="0" applyNumberFormat="1" applyAlignment="1">
      <alignment/>
    </xf>
    <xf numFmtId="0" fontId="0" fillId="9" borderId="6" xfId="0" applyFill="1" applyBorder="1" applyAlignment="1">
      <alignment horizontal="right"/>
    </xf>
    <xf numFmtId="0" fontId="0" fillId="9" borderId="9" xfId="0" applyFill="1" applyBorder="1" applyAlignment="1">
      <alignment horizontal="right"/>
    </xf>
    <xf numFmtId="0" fontId="0" fillId="9" borderId="12" xfId="0" applyFill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1" fontId="12" fillId="0" borderId="0" xfId="0" applyNumberFormat="1" applyFont="1" applyAlignment="1">
      <alignment horizontal="left"/>
    </xf>
    <xf numFmtId="194" fontId="12" fillId="0" borderId="0" xfId="0" applyNumberFormat="1" applyFont="1" applyAlignment="1">
      <alignment/>
    </xf>
    <xf numFmtId="1" fontId="8" fillId="0" borderId="0" xfId="0" applyNumberFormat="1" applyFont="1" applyAlignment="1">
      <alignment horizontal="left"/>
    </xf>
    <xf numFmtId="194" fontId="8" fillId="7" borderId="3" xfId="0" applyNumberFormat="1" applyFont="1" applyFill="1" applyBorder="1" applyAlignment="1">
      <alignment/>
    </xf>
    <xf numFmtId="194" fontId="8" fillId="0" borderId="0" xfId="0" applyNumberFormat="1" applyFont="1" applyAlignment="1">
      <alignment/>
    </xf>
    <xf numFmtId="194" fontId="8" fillId="7" borderId="7" xfId="0" applyNumberFormat="1" applyFont="1" applyFill="1" applyBorder="1" applyAlignment="1">
      <alignment/>
    </xf>
    <xf numFmtId="194" fontId="8" fillId="7" borderId="0" xfId="0" applyNumberFormat="1" applyFont="1" applyFill="1" applyBorder="1" applyAlignment="1">
      <alignment/>
    </xf>
    <xf numFmtId="194" fontId="8" fillId="7" borderId="8" xfId="0" applyNumberFormat="1" applyFont="1" applyFill="1" applyBorder="1" applyAlignment="1">
      <alignment/>
    </xf>
    <xf numFmtId="194" fontId="8" fillId="7" borderId="2" xfId="0" applyNumberFormat="1" applyFont="1" applyFill="1" applyBorder="1" applyAlignment="1">
      <alignment/>
    </xf>
    <xf numFmtId="194" fontId="8" fillId="7" borderId="11" xfId="0" applyNumberFormat="1" applyFont="1" applyFill="1" applyBorder="1" applyAlignment="1">
      <alignment/>
    </xf>
    <xf numFmtId="194" fontId="8" fillId="9" borderId="3" xfId="0" applyNumberFormat="1" applyFont="1" applyFill="1" applyBorder="1" applyAlignment="1">
      <alignment/>
    </xf>
    <xf numFmtId="194" fontId="8" fillId="10" borderId="3" xfId="0" applyNumberFormat="1" applyFont="1" applyFill="1" applyBorder="1" applyAlignment="1">
      <alignment/>
    </xf>
    <xf numFmtId="194" fontId="8" fillId="3" borderId="3" xfId="0" applyNumberFormat="1" applyFont="1" applyFill="1" applyBorder="1" applyAlignment="1">
      <alignment/>
    </xf>
    <xf numFmtId="0" fontId="8" fillId="0" borderId="0" xfId="0" applyFont="1" applyAlignment="1">
      <alignment/>
    </xf>
    <xf numFmtId="194" fontId="8" fillId="8" borderId="3" xfId="0" applyNumberFormat="1" applyFont="1" applyFill="1" applyBorder="1" applyAlignment="1">
      <alignment/>
    </xf>
    <xf numFmtId="194" fontId="8" fillId="11" borderId="3" xfId="0" applyNumberFormat="1" applyFont="1" applyFill="1" applyBorder="1" applyAlignment="1">
      <alignment/>
    </xf>
    <xf numFmtId="194" fontId="8" fillId="11" borderId="4" xfId="0" applyNumberFormat="1" applyFont="1" applyFill="1" applyBorder="1" applyAlignment="1">
      <alignment/>
    </xf>
    <xf numFmtId="194" fontId="8" fillId="11" borderId="5" xfId="0" applyNumberFormat="1" applyFont="1" applyFill="1" applyBorder="1" applyAlignment="1">
      <alignment/>
    </xf>
    <xf numFmtId="194" fontId="8" fillId="11" borderId="7" xfId="0" applyNumberFormat="1" applyFont="1" applyFill="1" applyBorder="1" applyAlignment="1">
      <alignment/>
    </xf>
    <xf numFmtId="194" fontId="8" fillId="11" borderId="0" xfId="0" applyNumberFormat="1" applyFont="1" applyFill="1" applyBorder="1" applyAlignment="1">
      <alignment/>
    </xf>
    <xf numFmtId="194" fontId="8" fillId="11" borderId="8" xfId="0" applyNumberFormat="1" applyFont="1" applyFill="1" applyBorder="1" applyAlignment="1">
      <alignment/>
    </xf>
    <xf numFmtId="194" fontId="8" fillId="11" borderId="10" xfId="0" applyNumberFormat="1" applyFont="1" applyFill="1" applyBorder="1" applyAlignment="1">
      <alignment/>
    </xf>
    <xf numFmtId="194" fontId="8" fillId="11" borderId="2" xfId="0" applyNumberFormat="1" applyFont="1" applyFill="1" applyBorder="1" applyAlignment="1">
      <alignment/>
    </xf>
    <xf numFmtId="194" fontId="8" fillId="11" borderId="11" xfId="0" applyNumberFormat="1" applyFont="1" applyFill="1" applyBorder="1" applyAlignment="1">
      <alignment/>
    </xf>
    <xf numFmtId="194" fontId="8" fillId="0" borderId="0" xfId="0" applyNumberFormat="1" applyFont="1" applyBorder="1" applyAlignment="1">
      <alignment/>
    </xf>
    <xf numFmtId="194" fontId="8" fillId="7" borderId="4" xfId="0" applyNumberFormat="1" applyFont="1" applyFill="1" applyBorder="1" applyAlignment="1">
      <alignment/>
    </xf>
    <xf numFmtId="194" fontId="8" fillId="7" borderId="5" xfId="0" applyNumberFormat="1" applyFont="1" applyFill="1" applyBorder="1" applyAlignment="1">
      <alignment/>
    </xf>
    <xf numFmtId="194" fontId="8" fillId="7" borderId="10" xfId="0" applyNumberFormat="1" applyFont="1" applyFill="1" applyBorder="1" applyAlignment="1">
      <alignment/>
    </xf>
    <xf numFmtId="194" fontId="8" fillId="9" borderId="0" xfId="0" applyNumberFormat="1" applyFont="1" applyFill="1" applyBorder="1" applyAlignment="1">
      <alignment/>
    </xf>
    <xf numFmtId="194" fontId="8" fillId="9" borderId="4" xfId="0" applyNumberFormat="1" applyFont="1" applyFill="1" applyBorder="1" applyAlignment="1">
      <alignment/>
    </xf>
    <xf numFmtId="194" fontId="8" fillId="9" borderId="5" xfId="0" applyNumberFormat="1" applyFont="1" applyFill="1" applyBorder="1" applyAlignment="1">
      <alignment/>
    </xf>
    <xf numFmtId="194" fontId="8" fillId="9" borderId="7" xfId="0" applyNumberFormat="1" applyFont="1" applyFill="1" applyBorder="1" applyAlignment="1">
      <alignment/>
    </xf>
    <xf numFmtId="194" fontId="8" fillId="9" borderId="8" xfId="0" applyNumberFormat="1" applyFont="1" applyFill="1" applyBorder="1" applyAlignment="1">
      <alignment/>
    </xf>
    <xf numFmtId="194" fontId="8" fillId="9" borderId="10" xfId="0" applyNumberFormat="1" applyFont="1" applyFill="1" applyBorder="1" applyAlignment="1">
      <alignment/>
    </xf>
    <xf numFmtId="194" fontId="8" fillId="9" borderId="2" xfId="0" applyNumberFormat="1" applyFont="1" applyFill="1" applyBorder="1" applyAlignment="1">
      <alignment/>
    </xf>
    <xf numFmtId="194" fontId="8" fillId="9" borderId="11" xfId="0" applyNumberFormat="1" applyFont="1" applyFill="1" applyBorder="1" applyAlignment="1">
      <alignment/>
    </xf>
    <xf numFmtId="194" fontId="8" fillId="10" borderId="0" xfId="0" applyNumberFormat="1" applyFont="1" applyFill="1" applyBorder="1" applyAlignment="1">
      <alignment/>
    </xf>
    <xf numFmtId="194" fontId="8" fillId="10" borderId="4" xfId="0" applyNumberFormat="1" applyFont="1" applyFill="1" applyBorder="1" applyAlignment="1">
      <alignment/>
    </xf>
    <xf numFmtId="194" fontId="8" fillId="10" borderId="5" xfId="0" applyNumberFormat="1" applyFont="1" applyFill="1" applyBorder="1" applyAlignment="1">
      <alignment/>
    </xf>
    <xf numFmtId="194" fontId="8" fillId="10" borderId="7" xfId="0" applyNumberFormat="1" applyFont="1" applyFill="1" applyBorder="1" applyAlignment="1">
      <alignment/>
    </xf>
    <xf numFmtId="194" fontId="8" fillId="10" borderId="8" xfId="0" applyNumberFormat="1" applyFont="1" applyFill="1" applyBorder="1" applyAlignment="1">
      <alignment/>
    </xf>
    <xf numFmtId="194" fontId="8" fillId="10" borderId="10" xfId="0" applyNumberFormat="1" applyFont="1" applyFill="1" applyBorder="1" applyAlignment="1">
      <alignment/>
    </xf>
    <xf numFmtId="194" fontId="8" fillId="10" borderId="2" xfId="0" applyNumberFormat="1" applyFont="1" applyFill="1" applyBorder="1" applyAlignment="1">
      <alignment/>
    </xf>
    <xf numFmtId="194" fontId="8" fillId="10" borderId="11" xfId="0" applyNumberFormat="1" applyFont="1" applyFill="1" applyBorder="1" applyAlignment="1">
      <alignment/>
    </xf>
    <xf numFmtId="194" fontId="8" fillId="3" borderId="0" xfId="0" applyNumberFormat="1" applyFont="1" applyFill="1" applyBorder="1" applyAlignment="1">
      <alignment/>
    </xf>
    <xf numFmtId="194" fontId="8" fillId="3" borderId="4" xfId="0" applyNumberFormat="1" applyFont="1" applyFill="1" applyBorder="1" applyAlignment="1">
      <alignment/>
    </xf>
    <xf numFmtId="194" fontId="8" fillId="3" borderId="5" xfId="0" applyNumberFormat="1" applyFont="1" applyFill="1" applyBorder="1" applyAlignment="1">
      <alignment/>
    </xf>
    <xf numFmtId="194" fontId="8" fillId="3" borderId="7" xfId="0" applyNumberFormat="1" applyFont="1" applyFill="1" applyBorder="1" applyAlignment="1">
      <alignment/>
    </xf>
    <xf numFmtId="194" fontId="8" fillId="3" borderId="8" xfId="0" applyNumberFormat="1" applyFont="1" applyFill="1" applyBorder="1" applyAlignment="1">
      <alignment/>
    </xf>
    <xf numFmtId="194" fontId="8" fillId="3" borderId="10" xfId="0" applyNumberFormat="1" applyFont="1" applyFill="1" applyBorder="1" applyAlignment="1">
      <alignment/>
    </xf>
    <xf numFmtId="194" fontId="8" fillId="3" borderId="2" xfId="0" applyNumberFormat="1" applyFont="1" applyFill="1" applyBorder="1" applyAlignment="1">
      <alignment/>
    </xf>
    <xf numFmtId="194" fontId="8" fillId="3" borderId="11" xfId="0" applyNumberFormat="1" applyFont="1" applyFill="1" applyBorder="1" applyAlignment="1">
      <alignment/>
    </xf>
    <xf numFmtId="194" fontId="8" fillId="8" borderId="0" xfId="0" applyNumberFormat="1" applyFont="1" applyFill="1" applyBorder="1" applyAlignment="1">
      <alignment/>
    </xf>
    <xf numFmtId="194" fontId="8" fillId="8" borderId="4" xfId="0" applyNumberFormat="1" applyFont="1" applyFill="1" applyBorder="1" applyAlignment="1">
      <alignment/>
    </xf>
    <xf numFmtId="194" fontId="8" fillId="8" borderId="5" xfId="0" applyNumberFormat="1" applyFont="1" applyFill="1" applyBorder="1" applyAlignment="1">
      <alignment/>
    </xf>
    <xf numFmtId="194" fontId="8" fillId="8" borderId="7" xfId="0" applyNumberFormat="1" applyFont="1" applyFill="1" applyBorder="1" applyAlignment="1">
      <alignment/>
    </xf>
    <xf numFmtId="194" fontId="8" fillId="8" borderId="8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194" fontId="8" fillId="0" borderId="8" xfId="0" applyNumberFormat="1" applyFont="1" applyBorder="1" applyAlignment="1">
      <alignment/>
    </xf>
    <xf numFmtId="194" fontId="8" fillId="0" borderId="10" xfId="0" applyNumberFormat="1" applyFont="1" applyBorder="1" applyAlignment="1">
      <alignment/>
    </xf>
    <xf numFmtId="194" fontId="8" fillId="0" borderId="2" xfId="0" applyNumberFormat="1" applyFont="1" applyBorder="1" applyAlignment="1">
      <alignment/>
    </xf>
    <xf numFmtId="194" fontId="8" fillId="0" borderId="11" xfId="0" applyNumberFormat="1" applyFont="1" applyBorder="1" applyAlignment="1">
      <alignment/>
    </xf>
    <xf numFmtId="194" fontId="8" fillId="8" borderId="10" xfId="0" applyNumberFormat="1" applyFont="1" applyFill="1" applyBorder="1" applyAlignment="1">
      <alignment/>
    </xf>
    <xf numFmtId="194" fontId="8" fillId="8" borderId="2" xfId="0" applyNumberFormat="1" applyFont="1" applyFill="1" applyBorder="1" applyAlignment="1">
      <alignment/>
    </xf>
    <xf numFmtId="194" fontId="8" fillId="8" borderId="11" xfId="0" applyNumberFormat="1" applyFont="1" applyFill="1" applyBorder="1" applyAlignment="1">
      <alignment/>
    </xf>
    <xf numFmtId="49" fontId="0" fillId="5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0" fontId="0" fillId="5" borderId="0" xfId="0" applyNumberFormat="1" applyFill="1" applyAlignment="1">
      <alignment horizontal="right"/>
    </xf>
    <xf numFmtId="17" fontId="0" fillId="5" borderId="0" xfId="0" applyNumberFormat="1" applyFill="1" applyAlignment="1">
      <alignment horizontal="right"/>
    </xf>
    <xf numFmtId="191" fontId="0" fillId="5" borderId="0" xfId="0" applyNumberFormat="1" applyFill="1" applyAlignment="1">
      <alignment horizontal="right"/>
    </xf>
    <xf numFmtId="195" fontId="0" fillId="5" borderId="0" xfId="0" applyNumberForma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ÉnÉCÉpÅ[ÉäÉìÉN" xfId="19"/>
    <cellStyle name="ï\é¶çœÇ›ÇÃÉnÉCÉpÅ[ÉäÉìÉN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Upper side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335"/>
          <c:w val="0.92325"/>
          <c:h val="0.78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MeasuredPointView!$D$4:$D$28</c:f>
              <c:numCache>
                <c:ptCount val="25"/>
                <c:pt idx="0">
                  <c:v>-63.7949930678326</c:v>
                </c:pt>
                <c:pt idx="1">
                  <c:v>-47.9198925757607</c:v>
                </c:pt>
                <c:pt idx="2">
                  <c:v>-32.0448138760563</c:v>
                </c:pt>
                <c:pt idx="3">
                  <c:v>-16.1697049300949</c:v>
                </c:pt>
                <c:pt idx="4">
                  <c:v>-0.294837168512937</c:v>
                </c:pt>
                <c:pt idx="5">
                  <c:v>-63.7948513340073</c:v>
                </c:pt>
                <c:pt idx="6">
                  <c:v>-47.9198396347687</c:v>
                </c:pt>
                <c:pt idx="7">
                  <c:v>-32.0448834423754</c:v>
                </c:pt>
                <c:pt idx="8">
                  <c:v>-16.1696933431667</c:v>
                </c:pt>
                <c:pt idx="9">
                  <c:v>-0.294736808611198</c:v>
                </c:pt>
                <c:pt idx="10">
                  <c:v>-63.794945702072</c:v>
                </c:pt>
                <c:pt idx="11">
                  <c:v>-47.9198322084721</c:v>
                </c:pt>
                <c:pt idx="12">
                  <c:v>-32.0447957477032</c:v>
                </c:pt>
                <c:pt idx="13">
                  <c:v>-16.1697074555439</c:v>
                </c:pt>
                <c:pt idx="14">
                  <c:v>-0.294887009574235</c:v>
                </c:pt>
                <c:pt idx="15">
                  <c:v>-63.7948769538242</c:v>
                </c:pt>
                <c:pt idx="16">
                  <c:v>-47.9197496104793</c:v>
                </c:pt>
                <c:pt idx="17">
                  <c:v>-32.0448090299216</c:v>
                </c:pt>
                <c:pt idx="18">
                  <c:v>-16.1697168085156</c:v>
                </c:pt>
                <c:pt idx="19">
                  <c:v>-0.294750374037517</c:v>
                </c:pt>
                <c:pt idx="20">
                  <c:v>-63.7949510287994</c:v>
                </c:pt>
                <c:pt idx="21">
                  <c:v>-47.9199098303673</c:v>
                </c:pt>
                <c:pt idx="22">
                  <c:v>-32.0448604469022</c:v>
                </c:pt>
                <c:pt idx="23">
                  <c:v>-16.1698491342653</c:v>
                </c:pt>
                <c:pt idx="24">
                  <c:v>-0.294867883604187</c:v>
                </c:pt>
              </c:numCache>
            </c:numRef>
          </c:xVal>
          <c:yVal>
            <c:numRef>
              <c:f>MeasuredPointView!$E$4:$E$28</c:f>
              <c:numCache>
                <c:ptCount val="25"/>
                <c:pt idx="0">
                  <c:v>-31.5501170481328</c:v>
                </c:pt>
                <c:pt idx="1">
                  <c:v>-31.5500542483215</c:v>
                </c:pt>
                <c:pt idx="2">
                  <c:v>-31.5500932525561</c:v>
                </c:pt>
                <c:pt idx="3">
                  <c:v>-31.5501326775782</c:v>
                </c:pt>
                <c:pt idx="4">
                  <c:v>-31.5500753064453</c:v>
                </c:pt>
                <c:pt idx="5">
                  <c:v>-15.7750033007856</c:v>
                </c:pt>
                <c:pt idx="6">
                  <c:v>-15.775041530059</c:v>
                </c:pt>
                <c:pt idx="7">
                  <c:v>-15.7750823981291</c:v>
                </c:pt>
                <c:pt idx="8">
                  <c:v>-15.7751214639691</c:v>
                </c:pt>
                <c:pt idx="9">
                  <c:v>-15.7750635517256</c:v>
                </c:pt>
                <c:pt idx="10">
                  <c:v>1.38550066534508E-06</c:v>
                </c:pt>
                <c:pt idx="11">
                  <c:v>-0.000134494448910763</c:v>
                </c:pt>
                <c:pt idx="12">
                  <c:v>-7.32917997533022E-05</c:v>
                </c:pt>
                <c:pt idx="13">
                  <c:v>-0.000112121875913168</c:v>
                </c:pt>
                <c:pt idx="14">
                  <c:v>-5.55601282725964E-05</c:v>
                </c:pt>
                <c:pt idx="15">
                  <c:v>15.7748136155215</c:v>
                </c:pt>
                <c:pt idx="16">
                  <c:v>15.7748836882425</c:v>
                </c:pt>
                <c:pt idx="17">
                  <c:v>15.7750497770424</c:v>
                </c:pt>
                <c:pt idx="18">
                  <c:v>15.7749166627721</c:v>
                </c:pt>
                <c:pt idx="19">
                  <c:v>15.7748817261861</c:v>
                </c:pt>
                <c:pt idx="20">
                  <c:v>31.5499163736371</c:v>
                </c:pt>
                <c:pt idx="21">
                  <c:v>31.5499854812158</c:v>
                </c:pt>
                <c:pt idx="22">
                  <c:v>31.55005320383</c:v>
                </c:pt>
                <c:pt idx="23">
                  <c:v>31.5499196490034</c:v>
                </c:pt>
                <c:pt idx="24">
                  <c:v>31.5498851064335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MeasuredPointView!$D$29:$D$53</c:f>
              <c:numCache>
                <c:ptCount val="25"/>
                <c:pt idx="0">
                  <c:v>0.295286288095772</c:v>
                </c:pt>
                <c:pt idx="1">
                  <c:v>16.1730994704825</c:v>
                </c:pt>
                <c:pt idx="2">
                  <c:v>32.0450968911031</c:v>
                </c:pt>
                <c:pt idx="3">
                  <c:v>47.9200214784094</c:v>
                </c:pt>
                <c:pt idx="4">
                  <c:v>63.7950181058844</c:v>
                </c:pt>
                <c:pt idx="5">
                  <c:v>0.295188524424768</c:v>
                </c:pt>
                <c:pt idx="6">
                  <c:v>16.1744255417821</c:v>
                </c:pt>
                <c:pt idx="7">
                  <c:v>32.0453501162558</c:v>
                </c:pt>
                <c:pt idx="8">
                  <c:v>47.9200673527503</c:v>
                </c:pt>
                <c:pt idx="9">
                  <c:v>63.7949673443867</c:v>
                </c:pt>
                <c:pt idx="10">
                  <c:v>0.295263000011154</c:v>
                </c:pt>
                <c:pt idx="11">
                  <c:v>16.1729435201859</c:v>
                </c:pt>
                <c:pt idx="12">
                  <c:v>32.0451704015238</c:v>
                </c:pt>
                <c:pt idx="13">
                  <c:v>47.9201778619859</c:v>
                </c:pt>
                <c:pt idx="14">
                  <c:v>63.7949852897653</c:v>
                </c:pt>
                <c:pt idx="15">
                  <c:v>0.295172365451607</c:v>
                </c:pt>
                <c:pt idx="16">
                  <c:v>16.174283089164</c:v>
                </c:pt>
                <c:pt idx="17">
                  <c:v>32.0453011187062</c:v>
                </c:pt>
                <c:pt idx="18">
                  <c:v>47.9200864976293</c:v>
                </c:pt>
                <c:pt idx="19">
                  <c:v>63.7949822866495</c:v>
                </c:pt>
                <c:pt idx="20">
                  <c:v>0.29516075788646</c:v>
                </c:pt>
                <c:pt idx="21">
                  <c:v>16.1728905495534</c:v>
                </c:pt>
                <c:pt idx="22">
                  <c:v>32.0452082681821</c:v>
                </c:pt>
                <c:pt idx="23">
                  <c:v>47.9200661144193</c:v>
                </c:pt>
                <c:pt idx="24">
                  <c:v>63.7950561283635</c:v>
                </c:pt>
              </c:numCache>
            </c:numRef>
          </c:xVal>
          <c:yVal>
            <c:numRef>
              <c:f>MeasuredPointView!$E$29:$E$53</c:f>
              <c:numCache>
                <c:ptCount val="25"/>
                <c:pt idx="0">
                  <c:v>-31.5500667819049</c:v>
                </c:pt>
                <c:pt idx="1">
                  <c:v>-31.5498904924328</c:v>
                </c:pt>
                <c:pt idx="2">
                  <c:v>-31.5499538272235</c:v>
                </c:pt>
                <c:pt idx="3">
                  <c:v>-31.5499978358362</c:v>
                </c:pt>
                <c:pt idx="4">
                  <c:v>-31.5500427302175</c:v>
                </c:pt>
                <c:pt idx="5">
                  <c:v>-15.7750572562853</c:v>
                </c:pt>
                <c:pt idx="6">
                  <c:v>-15.7748212222047</c:v>
                </c:pt>
                <c:pt idx="7">
                  <c:v>-15.7750395554914</c:v>
                </c:pt>
                <c:pt idx="8">
                  <c:v>-15.7749857112432</c:v>
                </c:pt>
                <c:pt idx="9">
                  <c:v>-15.7751316612864</c:v>
                </c:pt>
                <c:pt idx="10">
                  <c:v>5.41817950743259E-05</c:v>
                </c:pt>
                <c:pt idx="11">
                  <c:v>3.17478095847429E-05</c:v>
                </c:pt>
                <c:pt idx="12">
                  <c:v>-0.000127623201231756</c:v>
                </c:pt>
                <c:pt idx="13">
                  <c:v>3.1204808358565E-05</c:v>
                </c:pt>
                <c:pt idx="14">
                  <c:v>-0.000114118466391109</c:v>
                </c:pt>
                <c:pt idx="15">
                  <c:v>15.7748881741279</c:v>
                </c:pt>
                <c:pt idx="16">
                  <c:v>15.7752284013622</c:v>
                </c:pt>
                <c:pt idx="17">
                  <c:v>15.7749200174531</c:v>
                </c:pt>
                <c:pt idx="18">
                  <c:v>15.774881537173</c:v>
                </c:pt>
                <c:pt idx="19">
                  <c:v>15.775042589203</c:v>
                </c:pt>
                <c:pt idx="20">
                  <c:v>31.549892954068</c:v>
                </c:pt>
                <c:pt idx="21">
                  <c:v>31.5499744396386</c:v>
                </c:pt>
                <c:pt idx="22">
                  <c:v>31.5500234690068</c:v>
                </c:pt>
                <c:pt idx="23">
                  <c:v>31.5499853159699</c:v>
                </c:pt>
                <c:pt idx="24">
                  <c:v>31.5500471468968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MeasuredPointView!$D$57:$D$68</c:f>
              <c:numCache>
                <c:ptCount val="12"/>
                <c:pt idx="0">
                  <c:v>-10.3177804757235</c:v>
                </c:pt>
                <c:pt idx="1">
                  <c:v>-10.1978343181984</c:v>
                </c:pt>
                <c:pt idx="2">
                  <c:v>-5.00001635226238</c:v>
                </c:pt>
                <c:pt idx="3">
                  <c:v>-1.04954161195719</c:v>
                </c:pt>
                <c:pt idx="4">
                  <c:v>-1.19970822914971</c:v>
                </c:pt>
                <c:pt idx="5">
                  <c:v>-1.319545210336</c:v>
                </c:pt>
                <c:pt idx="6">
                  <c:v>34.1832730616541</c:v>
                </c:pt>
                <c:pt idx="7">
                  <c:v>34.7931158448108</c:v>
                </c:pt>
                <c:pt idx="8">
                  <c:v>34.9431704775286</c:v>
                </c:pt>
                <c:pt idx="9">
                  <c:v>36.0000739033487</c:v>
                </c:pt>
                <c:pt idx="10">
                  <c:v>43.7913633665459</c:v>
                </c:pt>
                <c:pt idx="11">
                  <c:v>44.1812848870646</c:v>
                </c:pt>
              </c:numCache>
            </c:numRef>
          </c:xVal>
          <c:yVal>
            <c:numRef>
              <c:f>MeasuredPointView!$E$57:$E$68</c:f>
              <c:numCache>
                <c:ptCount val="12"/>
                <c:pt idx="0">
                  <c:v>-34.2133471787562</c:v>
                </c:pt>
                <c:pt idx="1">
                  <c:v>-40.2120606725812</c:v>
                </c:pt>
                <c:pt idx="2">
                  <c:v>-47.7206123530997</c:v>
                </c:pt>
                <c:pt idx="3">
                  <c:v>-47.5306178593897</c:v>
                </c:pt>
                <c:pt idx="4">
                  <c:v>-40.0320288778548</c:v>
                </c:pt>
                <c:pt idx="5">
                  <c:v>-34.0333138428129</c:v>
                </c:pt>
                <c:pt idx="6">
                  <c:v>-33.8231811498389</c:v>
                </c:pt>
                <c:pt idx="7">
                  <c:v>-39.3121008000762</c:v>
                </c:pt>
                <c:pt idx="8">
                  <c:v>-46.8105916846223</c:v>
                </c:pt>
                <c:pt idx="9">
                  <c:v>-46.6806867952188</c:v>
                </c:pt>
                <c:pt idx="10">
                  <c:v>-39.1320677832879</c:v>
                </c:pt>
                <c:pt idx="11">
                  <c:v>-33.62321152675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MeasuredPointView!$D$71:$D$76</c:f>
              <c:numCache>
                <c:ptCount val="6"/>
                <c:pt idx="0">
                  <c:v>6.06174141816701</c:v>
                </c:pt>
                <c:pt idx="1">
                  <c:v>24.8442878819606</c:v>
                </c:pt>
                <c:pt idx="2">
                  <c:v>8.55020295949023</c:v>
                </c:pt>
                <c:pt idx="3">
                  <c:v>23.0228061611977</c:v>
                </c:pt>
                <c:pt idx="4">
                  <c:v>6.52568467538026</c:v>
                </c:pt>
                <c:pt idx="5">
                  <c:v>24.3434027626671</c:v>
                </c:pt>
              </c:numCache>
            </c:numRef>
          </c:xVal>
          <c:yVal>
            <c:numRef>
              <c:f>MeasuredPointView!$E$71:$E$76</c:f>
              <c:numCache>
                <c:ptCount val="6"/>
                <c:pt idx="0">
                  <c:v>-34.0668618182131</c:v>
                </c:pt>
                <c:pt idx="1">
                  <c:v>-31.5160456587351</c:v>
                </c:pt>
                <c:pt idx="2">
                  <c:v>-0.0594225033368094</c:v>
                </c:pt>
                <c:pt idx="3">
                  <c:v>-0.0615480880144143</c:v>
                </c:pt>
                <c:pt idx="4">
                  <c:v>34.5899004818309</c:v>
                </c:pt>
                <c:pt idx="5">
                  <c:v>34.5131013405452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MeasuredPointView!$D$54:$D$56</c:f>
              <c:numCache>
                <c:ptCount val="3"/>
                <c:pt idx="0">
                  <c:v>-0.720060141987802</c:v>
                </c:pt>
                <c:pt idx="1">
                  <c:v>-0.905753104179688</c:v>
                </c:pt>
                <c:pt idx="2">
                  <c:v>-0.506309334916064</c:v>
                </c:pt>
              </c:numCache>
            </c:numRef>
          </c:xVal>
          <c:yVal>
            <c:numRef>
              <c:f>MeasuredPointView!$E$54:$E$56</c:f>
              <c:numCache>
                <c:ptCount val="3"/>
                <c:pt idx="0">
                  <c:v>35.7426590458623</c:v>
                </c:pt>
                <c:pt idx="1">
                  <c:v>35.3847999700676</c:v>
                </c:pt>
                <c:pt idx="2">
                  <c:v>35.400809816094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MeasuredPointView!$D$77:$D$79</c:f>
              <c:numCache>
                <c:ptCount val="3"/>
                <c:pt idx="0">
                  <c:v>7.67102584144579</c:v>
                </c:pt>
                <c:pt idx="1">
                  <c:v>9.35198044356873</c:v>
                </c:pt>
                <c:pt idx="2">
                  <c:v>19.8968286865846</c:v>
                </c:pt>
              </c:numCache>
            </c:numRef>
          </c:xVal>
          <c:yVal>
            <c:numRef>
              <c:f>MeasuredPointView!$E$77:$E$79</c:f>
              <c:numCache>
                <c:ptCount val="3"/>
                <c:pt idx="0">
                  <c:v>36.1273816461874</c:v>
                </c:pt>
                <c:pt idx="1">
                  <c:v>33.3477609479827</c:v>
                </c:pt>
                <c:pt idx="2">
                  <c:v>33.3359254553513</c:v>
                </c:pt>
              </c:numCache>
            </c:numRef>
          </c:yVal>
          <c:smooth val="0"/>
        </c:ser>
        <c:axId val="60489432"/>
        <c:axId val="7533977"/>
      </c:scatterChart>
      <c:valAx>
        <c:axId val="60489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Helv"/>
                    <a:ea typeface="Helv"/>
                    <a:cs typeface="Helv"/>
                  </a:rPr>
                  <a:t>x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533977"/>
        <c:crosses val="autoZero"/>
        <c:crossBetween val="midCat"/>
        <c:dispUnits/>
      </c:valAx>
      <c:valAx>
        <c:axId val="7533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Helv"/>
                    <a:ea typeface="Helv"/>
                    <a:cs typeface="Helv"/>
                  </a:rPr>
                  <a:t>y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4894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Helv"/>
                <a:ea typeface="Helv"/>
                <a:cs typeface="Helv"/>
              </a:rPr>
              <a:t>Lower surface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3375"/>
          <c:w val="0.7345"/>
          <c:h val="0.75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ModuleView!$A$4</c:f>
              <c:strCache>
                <c:ptCount val="1"/>
                <c:pt idx="0">
                  <c:v>-61.0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ModuleView!$B$3:$F$3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ModuleView!$B$4:$F$4</c:f>
              <c:numCache>
                <c:ptCount val="5"/>
                <c:pt idx="0">
                  <c:v>-0.5036255886392229</c:v>
                </c:pt>
                <c:pt idx="1">
                  <c:v>-0.5056255886392229</c:v>
                </c:pt>
                <c:pt idx="2">
                  <c:v>-0.5106255886392228</c:v>
                </c:pt>
                <c:pt idx="3">
                  <c:v>-0.5116255886392229</c:v>
                </c:pt>
                <c:pt idx="4">
                  <c:v>-0.5236255886392228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ModuleView!$A$5</c:f>
              <c:strCache>
                <c:ptCount val="1"/>
                <c:pt idx="0">
                  <c:v>-46.6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ModuleView!$B$3:$F$3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ModuleView!$B$5:$F$5</c:f>
              <c:numCache>
                <c:ptCount val="5"/>
                <c:pt idx="0">
                  <c:v>-0.5326255886392228</c:v>
                </c:pt>
                <c:pt idx="1">
                  <c:v>-0.5336255886392228</c:v>
                </c:pt>
                <c:pt idx="2">
                  <c:v>-0.5366255886392228</c:v>
                </c:pt>
                <c:pt idx="3">
                  <c:v>-0.5366255886392228</c:v>
                </c:pt>
                <c:pt idx="4">
                  <c:v>-0.5526255886392228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ModuleView!$A$6</c:f>
              <c:strCache>
                <c:ptCount val="1"/>
                <c:pt idx="0">
                  <c:v>-32.2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ModuleView!$B$3:$F$3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ModuleView!$B$6:$F$6</c:f>
              <c:numCache>
                <c:ptCount val="5"/>
                <c:pt idx="0">
                  <c:v>-0.5486255886392228</c:v>
                </c:pt>
                <c:pt idx="1">
                  <c:v>-0.5386255886392228</c:v>
                </c:pt>
                <c:pt idx="2">
                  <c:v>-0.5466255886392228</c:v>
                </c:pt>
                <c:pt idx="3">
                  <c:v>-0.5446255886392228</c:v>
                </c:pt>
                <c:pt idx="4">
                  <c:v>-0.5656255886392229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ModuleView!$A$7</c:f>
              <c:strCache>
                <c:ptCount val="1"/>
                <c:pt idx="0">
                  <c:v>-17.8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ModuleView!$B$3:$F$3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ModuleView!$B$7:$F$7</c:f>
              <c:numCache>
                <c:ptCount val="5"/>
                <c:pt idx="0">
                  <c:v>-0.5526255886392228</c:v>
                </c:pt>
                <c:pt idx="1">
                  <c:v>-0.5476255886392228</c:v>
                </c:pt>
                <c:pt idx="2">
                  <c:v>-0.5506255886392228</c:v>
                </c:pt>
                <c:pt idx="3">
                  <c:v>-0.5516255886392228</c:v>
                </c:pt>
                <c:pt idx="4">
                  <c:v>-0.5686255886392229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ModuleView!$A$8</c:f>
              <c:strCache>
                <c:ptCount val="1"/>
                <c:pt idx="0">
                  <c:v>-3.4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ModuleView!$B$3:$F$3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ModuleView!$B$8:$F$8</c:f>
              <c:numCache>
                <c:ptCount val="5"/>
                <c:pt idx="0">
                  <c:v>-0.5456255886392228</c:v>
                </c:pt>
                <c:pt idx="1">
                  <c:v>-0.5446255886392228</c:v>
                </c:pt>
                <c:pt idx="2">
                  <c:v>-0.5446255886392228</c:v>
                </c:pt>
                <c:pt idx="3">
                  <c:v>-0.5466255886392228</c:v>
                </c:pt>
                <c:pt idx="4">
                  <c:v>-0.5576255886392228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ModuleView!$A$9</c:f>
              <c:strCache>
                <c:ptCount val="1"/>
                <c:pt idx="0">
                  <c:v>2.1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ModuleView!$B$3:$F$3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ModuleView!$B$9:$F$9</c:f>
              <c:numCache>
                <c:ptCount val="5"/>
                <c:pt idx="0">
                  <c:v>-0.5226255886392228</c:v>
                </c:pt>
                <c:pt idx="1">
                  <c:v>-0.5396255886392228</c:v>
                </c:pt>
                <c:pt idx="2">
                  <c:v>-0.5406255886392228</c:v>
                </c:pt>
                <c:pt idx="3">
                  <c:v>-0.5356255886392228</c:v>
                </c:pt>
                <c:pt idx="4">
                  <c:v>-0.5446255886392228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ModuleView!$A$10</c:f>
              <c:strCache>
                <c:ptCount val="1"/>
                <c:pt idx="0">
                  <c:v>17.0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ModuleView!$B$3:$F$3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ModuleView!$B$10:$F$10</c:f>
              <c:numCache>
                <c:ptCount val="5"/>
                <c:pt idx="0">
                  <c:v>-0.5246255886392228</c:v>
                </c:pt>
                <c:pt idx="1">
                  <c:v>-0.5346255886392228</c:v>
                </c:pt>
                <c:pt idx="2">
                  <c:v>-0.5376255886392228</c:v>
                </c:pt>
                <c:pt idx="3">
                  <c:v>-0.5351255886392229</c:v>
                </c:pt>
                <c:pt idx="4">
                  <c:v>-0.5511255886392229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ModuleView!$A$11</c:f>
              <c:strCache>
                <c:ptCount val="1"/>
                <c:pt idx="0">
                  <c:v>31.9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ModuleView!$B$3:$F$3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ModuleView!$B$11:$F$11</c:f>
              <c:numCache>
                <c:ptCount val="5"/>
                <c:pt idx="0">
                  <c:v>-0.5266255886392228</c:v>
                </c:pt>
                <c:pt idx="1">
                  <c:v>-0.5296255886392228</c:v>
                </c:pt>
                <c:pt idx="2">
                  <c:v>-0.5346255886392228</c:v>
                </c:pt>
                <c:pt idx="3">
                  <c:v>-0.5346255886392228</c:v>
                </c:pt>
                <c:pt idx="4">
                  <c:v>-0.5576255886392228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ModuleView!$A$12</c:f>
              <c:strCache>
                <c:ptCount val="1"/>
                <c:pt idx="0">
                  <c:v>46.3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ModuleView!$B$3:$F$3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ModuleView!$B$12:$F$12</c:f>
              <c:numCache>
                <c:ptCount val="5"/>
                <c:pt idx="0">
                  <c:v>-0.5066255886392228</c:v>
                </c:pt>
                <c:pt idx="1">
                  <c:v>-0.5166255886392228</c:v>
                </c:pt>
                <c:pt idx="2">
                  <c:v>-0.5216255886392228</c:v>
                </c:pt>
                <c:pt idx="3">
                  <c:v>-0.5216255886392228</c:v>
                </c:pt>
                <c:pt idx="4">
                  <c:v>-0.5436255886392228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ModuleView!$A$13</c:f>
              <c:strCache>
                <c:ptCount val="1"/>
                <c:pt idx="0">
                  <c:v>60.7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ModuleView!$B$3:$F$3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ModuleView!$B$13:$F$13</c:f>
              <c:numCache>
                <c:ptCount val="5"/>
                <c:pt idx="0">
                  <c:v>-0.46062558863922287</c:v>
                </c:pt>
                <c:pt idx="1">
                  <c:v>-0.48762558863922284</c:v>
                </c:pt>
                <c:pt idx="2">
                  <c:v>-0.49062558863922284</c:v>
                </c:pt>
                <c:pt idx="3">
                  <c:v>-0.48962558863922284</c:v>
                </c:pt>
                <c:pt idx="4">
                  <c:v>-0.5086255886392228</c:v>
                </c:pt>
              </c:numCache>
            </c:numRef>
          </c:yVal>
          <c:smooth val="1"/>
        </c:ser>
        <c:axId val="7296818"/>
        <c:axId val="65671363"/>
      </c:scatterChart>
      <c:valAx>
        <c:axId val="7296818"/>
        <c:scaling>
          <c:orientation val="minMax"/>
          <c:max val="8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y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671363"/>
        <c:crossesAt val="-99999"/>
        <c:crossBetween val="midCat"/>
        <c:dispUnits/>
        <c:majorUnit val="20"/>
      </c:valAx>
      <c:valAx>
        <c:axId val="65671363"/>
        <c:scaling>
          <c:orientation val="minMax"/>
          <c:max val="-0.4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z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7296818"/>
        <c:crossesAt val="-100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Helv"/>
                <a:ea typeface="Helv"/>
                <a:cs typeface="Helv"/>
              </a:rPr>
              <a:t>Upper surface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3375"/>
          <c:w val="0.73325"/>
          <c:h val="0.75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ModuleView!$I$3</c:f>
              <c:strCache>
                <c:ptCount val="1"/>
                <c:pt idx="0">
                  <c:v>1.2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ModuleView!$H$4:$H$13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ModuleView!$I$4:$I$13</c:f>
              <c:numCache>
                <c:ptCount val="10"/>
                <c:pt idx="0">
                  <c:v>0.4893744113607772</c:v>
                </c:pt>
                <c:pt idx="1">
                  <c:v>0.5253744113607771</c:v>
                </c:pt>
                <c:pt idx="2">
                  <c:v>0.5463744113607771</c:v>
                </c:pt>
                <c:pt idx="3">
                  <c:v>0.5553744113607771</c:v>
                </c:pt>
                <c:pt idx="4">
                  <c:v>0.5533744113607771</c:v>
                </c:pt>
                <c:pt idx="5">
                  <c:v>0.560374411360777</c:v>
                </c:pt>
                <c:pt idx="6">
                  <c:v>0.5658744113607771</c:v>
                </c:pt>
                <c:pt idx="7">
                  <c:v>0.5713744113607772</c:v>
                </c:pt>
                <c:pt idx="8">
                  <c:v>0.562374411360777</c:v>
                </c:pt>
                <c:pt idx="9">
                  <c:v>0.5433744113607771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ModuleView!$J$3</c:f>
              <c:strCache>
                <c:ptCount val="1"/>
                <c:pt idx="0">
                  <c:v>16.6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ModuleView!$H$4:$H$13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ModuleView!$J$4:$J$13</c:f>
              <c:numCache>
                <c:ptCount val="10"/>
                <c:pt idx="0">
                  <c:v>0.4773744113607772</c:v>
                </c:pt>
                <c:pt idx="1">
                  <c:v>0.5073744113607771</c:v>
                </c:pt>
                <c:pt idx="2">
                  <c:v>0.5263744113607771</c:v>
                </c:pt>
                <c:pt idx="3">
                  <c:v>0.5353744113607771</c:v>
                </c:pt>
                <c:pt idx="4">
                  <c:v>0.5423744113607771</c:v>
                </c:pt>
                <c:pt idx="5">
                  <c:v>0.5403744113607771</c:v>
                </c:pt>
                <c:pt idx="6">
                  <c:v>0.5463744113607771</c:v>
                </c:pt>
                <c:pt idx="7">
                  <c:v>0.5523744113607771</c:v>
                </c:pt>
                <c:pt idx="8">
                  <c:v>0.5483744113607771</c:v>
                </c:pt>
                <c:pt idx="9">
                  <c:v>0.5323744113607771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ModuleView!$K$3</c:f>
              <c:strCache>
                <c:ptCount val="1"/>
                <c:pt idx="0">
                  <c:v>32.0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ModuleView!$H$4:$H$13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ModuleView!$K$4:$K$13</c:f>
              <c:numCache>
                <c:ptCount val="10"/>
                <c:pt idx="0">
                  <c:v>0.4883744113607772</c:v>
                </c:pt>
                <c:pt idx="1">
                  <c:v>0.5193744113607771</c:v>
                </c:pt>
                <c:pt idx="2">
                  <c:v>0.5333744113607771</c:v>
                </c:pt>
                <c:pt idx="3">
                  <c:v>0.5373744113607771</c:v>
                </c:pt>
                <c:pt idx="4">
                  <c:v>0.5383744113607771</c:v>
                </c:pt>
                <c:pt idx="5">
                  <c:v>0.5343744113607771</c:v>
                </c:pt>
                <c:pt idx="6">
                  <c:v>0.544374411360777</c:v>
                </c:pt>
                <c:pt idx="7">
                  <c:v>0.554374411360777</c:v>
                </c:pt>
                <c:pt idx="8">
                  <c:v>0.556374411360777</c:v>
                </c:pt>
                <c:pt idx="9">
                  <c:v>0.5423744113607771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ModuleView!$L$3</c:f>
              <c:strCache>
                <c:ptCount val="1"/>
                <c:pt idx="0">
                  <c:v>47.4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ModuleView!$H$4:$H$13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ModuleView!$L$4:$L$13</c:f>
              <c:numCache>
                <c:ptCount val="10"/>
                <c:pt idx="0">
                  <c:v>0.4923744113607771</c:v>
                </c:pt>
                <c:pt idx="1">
                  <c:v>0.5223744113607771</c:v>
                </c:pt>
                <c:pt idx="2">
                  <c:v>0.5333744113607771</c:v>
                </c:pt>
                <c:pt idx="3">
                  <c:v>0.5443744113607771</c:v>
                </c:pt>
                <c:pt idx="4">
                  <c:v>0.5423744113607771</c:v>
                </c:pt>
                <c:pt idx="5">
                  <c:v>0.5353744113607771</c:v>
                </c:pt>
                <c:pt idx="6">
                  <c:v>0.5458744113607771</c:v>
                </c:pt>
                <c:pt idx="7">
                  <c:v>0.556374411360777</c:v>
                </c:pt>
                <c:pt idx="8">
                  <c:v>0.5593744113607771</c:v>
                </c:pt>
                <c:pt idx="9">
                  <c:v>0.5413744113607771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ModuleView!$M$3</c:f>
              <c:strCache>
                <c:ptCount val="1"/>
                <c:pt idx="0">
                  <c:v>62.8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ModuleView!$H$4:$H$13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ModuleView!$M$4:$M$13</c:f>
              <c:numCache>
                <c:ptCount val="10"/>
                <c:pt idx="0">
                  <c:v>0.4953744113607771</c:v>
                </c:pt>
                <c:pt idx="1">
                  <c:v>0.5253744113607771</c:v>
                </c:pt>
                <c:pt idx="2">
                  <c:v>0.5413744113607771</c:v>
                </c:pt>
                <c:pt idx="3">
                  <c:v>0.5493744113607771</c:v>
                </c:pt>
                <c:pt idx="4">
                  <c:v>0.5523744113607771</c:v>
                </c:pt>
                <c:pt idx="5">
                  <c:v>0.5453744113607771</c:v>
                </c:pt>
                <c:pt idx="6">
                  <c:v>0.554374411360777</c:v>
                </c:pt>
                <c:pt idx="7">
                  <c:v>0.5633744113607771</c:v>
                </c:pt>
                <c:pt idx="8">
                  <c:v>0.5593744113607771</c:v>
                </c:pt>
                <c:pt idx="9">
                  <c:v>0.5433744113607771</c:v>
                </c:pt>
              </c:numCache>
            </c:numRef>
          </c:yVal>
          <c:smooth val="1"/>
        </c:ser>
        <c:axId val="54171356"/>
        <c:axId val="17780157"/>
      </c:scatterChart>
      <c:valAx>
        <c:axId val="54171356"/>
        <c:scaling>
          <c:orientation val="minMax"/>
          <c:max val="8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x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780157"/>
        <c:crossesAt val="-99999"/>
        <c:crossBetween val="midCat"/>
        <c:dispUnits/>
        <c:majorUnit val="20"/>
      </c:valAx>
      <c:valAx>
        <c:axId val="17780157"/>
        <c:scaling>
          <c:orientation val="minMax"/>
          <c:max val="0.7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z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171356"/>
        <c:crossesAt val="-100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Helv"/>
                <a:ea typeface="Helv"/>
                <a:cs typeface="Helv"/>
              </a:rPr>
              <a:t>Upper surface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3375"/>
          <c:w val="0.7345"/>
          <c:h val="0.75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ModuleView!$H$4</c:f>
              <c:strCache>
                <c:ptCount val="1"/>
                <c:pt idx="0">
                  <c:v>-61.0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ModuleView!$I$3:$M$3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ModuleView!$I$4:$M$4</c:f>
              <c:numCache>
                <c:ptCount val="5"/>
                <c:pt idx="0">
                  <c:v>0.4893744113607772</c:v>
                </c:pt>
                <c:pt idx="1">
                  <c:v>0.4773744113607772</c:v>
                </c:pt>
                <c:pt idx="2">
                  <c:v>0.4883744113607772</c:v>
                </c:pt>
                <c:pt idx="3">
                  <c:v>0.4923744113607771</c:v>
                </c:pt>
                <c:pt idx="4">
                  <c:v>0.4953744113607771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ModuleView!$H$5</c:f>
              <c:strCache>
                <c:ptCount val="1"/>
                <c:pt idx="0">
                  <c:v>-46.6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ModuleView!$I$3:$M$3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ModuleView!$I$5:$M$5</c:f>
              <c:numCache>
                <c:ptCount val="5"/>
                <c:pt idx="0">
                  <c:v>0.5253744113607771</c:v>
                </c:pt>
                <c:pt idx="1">
                  <c:v>0.5073744113607771</c:v>
                </c:pt>
                <c:pt idx="2">
                  <c:v>0.5193744113607771</c:v>
                </c:pt>
                <c:pt idx="3">
                  <c:v>0.5223744113607771</c:v>
                </c:pt>
                <c:pt idx="4">
                  <c:v>0.5253744113607771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ModuleView!$H$6</c:f>
              <c:strCache>
                <c:ptCount val="1"/>
                <c:pt idx="0">
                  <c:v>-32.2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ModuleView!$I$3:$M$3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ModuleView!$I$6:$M$6</c:f>
              <c:numCache>
                <c:ptCount val="5"/>
                <c:pt idx="0">
                  <c:v>0.5463744113607771</c:v>
                </c:pt>
                <c:pt idx="1">
                  <c:v>0.5263744113607771</c:v>
                </c:pt>
                <c:pt idx="2">
                  <c:v>0.5333744113607771</c:v>
                </c:pt>
                <c:pt idx="3">
                  <c:v>0.5333744113607771</c:v>
                </c:pt>
                <c:pt idx="4">
                  <c:v>0.5413744113607771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ModuleView!$H$7</c:f>
              <c:strCache>
                <c:ptCount val="1"/>
                <c:pt idx="0">
                  <c:v>-17.8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ModuleView!$I$3:$M$3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ModuleView!$I$7:$M$7</c:f>
              <c:numCache>
                <c:ptCount val="5"/>
                <c:pt idx="0">
                  <c:v>0.5553744113607771</c:v>
                </c:pt>
                <c:pt idx="1">
                  <c:v>0.5353744113607771</c:v>
                </c:pt>
                <c:pt idx="2">
                  <c:v>0.5373744113607771</c:v>
                </c:pt>
                <c:pt idx="3">
                  <c:v>0.5443744113607771</c:v>
                </c:pt>
                <c:pt idx="4">
                  <c:v>0.5493744113607771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ModuleView!$H$8</c:f>
              <c:strCache>
                <c:ptCount val="1"/>
                <c:pt idx="0">
                  <c:v>-3.4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ModuleView!$I$3:$M$3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ModuleView!$I$8:$M$8</c:f>
              <c:numCache>
                <c:ptCount val="5"/>
                <c:pt idx="0">
                  <c:v>0.5533744113607771</c:v>
                </c:pt>
                <c:pt idx="1">
                  <c:v>0.5423744113607771</c:v>
                </c:pt>
                <c:pt idx="2">
                  <c:v>0.5383744113607771</c:v>
                </c:pt>
                <c:pt idx="3">
                  <c:v>0.5423744113607771</c:v>
                </c:pt>
                <c:pt idx="4">
                  <c:v>0.5523744113607771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ModuleView!$H$9</c:f>
              <c:strCache>
                <c:ptCount val="1"/>
                <c:pt idx="0">
                  <c:v>2.1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ModuleView!$I$3:$M$3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ModuleView!$I$9:$M$9</c:f>
              <c:numCache>
                <c:ptCount val="5"/>
                <c:pt idx="0">
                  <c:v>0.560374411360777</c:v>
                </c:pt>
                <c:pt idx="1">
                  <c:v>0.5403744113607771</c:v>
                </c:pt>
                <c:pt idx="2">
                  <c:v>0.5343744113607771</c:v>
                </c:pt>
                <c:pt idx="3">
                  <c:v>0.5353744113607771</c:v>
                </c:pt>
                <c:pt idx="4">
                  <c:v>0.5453744113607771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ModuleView!$H$10</c:f>
              <c:strCache>
                <c:ptCount val="1"/>
                <c:pt idx="0">
                  <c:v>17.0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ModuleView!$I$3:$M$3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ModuleView!$I$10:$M$10</c:f>
              <c:numCache>
                <c:ptCount val="5"/>
                <c:pt idx="0">
                  <c:v>0.5658744113607771</c:v>
                </c:pt>
                <c:pt idx="1">
                  <c:v>0.5463744113607771</c:v>
                </c:pt>
                <c:pt idx="2">
                  <c:v>0.544374411360777</c:v>
                </c:pt>
                <c:pt idx="3">
                  <c:v>0.5458744113607771</c:v>
                </c:pt>
                <c:pt idx="4">
                  <c:v>0.554374411360777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ModuleView!$H$11</c:f>
              <c:strCache>
                <c:ptCount val="1"/>
                <c:pt idx="0">
                  <c:v>31.9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ModuleView!$I$3:$M$3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ModuleView!$I$11:$M$11</c:f>
              <c:numCache>
                <c:ptCount val="5"/>
                <c:pt idx="0">
                  <c:v>0.5713744113607772</c:v>
                </c:pt>
                <c:pt idx="1">
                  <c:v>0.5523744113607771</c:v>
                </c:pt>
                <c:pt idx="2">
                  <c:v>0.554374411360777</c:v>
                </c:pt>
                <c:pt idx="3">
                  <c:v>0.556374411360777</c:v>
                </c:pt>
                <c:pt idx="4">
                  <c:v>0.5633744113607771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ModuleView!$H$12</c:f>
              <c:strCache>
                <c:ptCount val="1"/>
                <c:pt idx="0">
                  <c:v>46.3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ModuleView!$I$3:$M$3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ModuleView!$I$12:$M$12</c:f>
              <c:numCache>
                <c:ptCount val="5"/>
                <c:pt idx="0">
                  <c:v>0.562374411360777</c:v>
                </c:pt>
                <c:pt idx="1">
                  <c:v>0.5483744113607771</c:v>
                </c:pt>
                <c:pt idx="2">
                  <c:v>0.556374411360777</c:v>
                </c:pt>
                <c:pt idx="3">
                  <c:v>0.5593744113607771</c:v>
                </c:pt>
                <c:pt idx="4">
                  <c:v>0.5593744113607771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ModuleView!$H$13</c:f>
              <c:strCache>
                <c:ptCount val="1"/>
                <c:pt idx="0">
                  <c:v>60.7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ModuleView!$I$3:$M$3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ModuleView!$I$13:$M$13</c:f>
              <c:numCache>
                <c:ptCount val="5"/>
                <c:pt idx="0">
                  <c:v>0.5433744113607771</c:v>
                </c:pt>
                <c:pt idx="1">
                  <c:v>0.5323744113607771</c:v>
                </c:pt>
                <c:pt idx="2">
                  <c:v>0.5423744113607771</c:v>
                </c:pt>
                <c:pt idx="3">
                  <c:v>0.5413744113607771</c:v>
                </c:pt>
                <c:pt idx="4">
                  <c:v>0.5433744113607771</c:v>
                </c:pt>
              </c:numCache>
            </c:numRef>
          </c:yVal>
          <c:smooth val="1"/>
        </c:ser>
        <c:axId val="25803686"/>
        <c:axId val="30906583"/>
      </c:scatterChart>
      <c:valAx>
        <c:axId val="25803686"/>
        <c:scaling>
          <c:orientation val="minMax"/>
          <c:max val="8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y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906583"/>
        <c:crossesAt val="-99999"/>
        <c:crossBetween val="midCat"/>
        <c:dispUnits/>
        <c:majorUnit val="20"/>
      </c:valAx>
      <c:valAx>
        <c:axId val="30906583"/>
        <c:scaling>
          <c:orientation val="minMax"/>
          <c:max val="0.7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z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803686"/>
        <c:crossesAt val="-100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Helv"/>
                <a:ea typeface="Helv"/>
                <a:cs typeface="Helv"/>
              </a:rPr>
              <a:t>Lower surface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3325"/>
          <c:w val="0.73325"/>
          <c:h val="0.75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MidplaneFrameView!$B$3</c:f>
              <c:strCache>
                <c:ptCount val="1"/>
                <c:pt idx="0">
                  <c:v>1.2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MidplaneFrameView!$A$4:$A$13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MidplaneFrameView!$B$4:$B$13</c:f>
              <c:numCache>
                <c:ptCount val="10"/>
                <c:pt idx="0">
                  <c:v>-0.4920176839218664</c:v>
                </c:pt>
                <c:pt idx="1">
                  <c:v>-0.52348742653774</c:v>
                </c:pt>
                <c:pt idx="2">
                  <c:v>-0.5419575445780166</c:v>
                </c:pt>
                <c:pt idx="3">
                  <c:v>-0.5484274587227855</c:v>
                </c:pt>
                <c:pt idx="4">
                  <c:v>-0.5438974748153081</c:v>
                </c:pt>
                <c:pt idx="5">
                  <c:v>-0.5241488124394127</c:v>
                </c:pt>
                <c:pt idx="6">
                  <c:v>-0.5319169795140009</c:v>
                </c:pt>
                <c:pt idx="7">
                  <c:v>-0.539685146588589</c:v>
                </c:pt>
                <c:pt idx="8">
                  <c:v>-0.5252606812860445</c:v>
                </c:pt>
                <c:pt idx="9">
                  <c:v>-0.4848364718273406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MidplaneFrameView!$C$3</c:f>
              <c:strCache>
                <c:ptCount val="1"/>
                <c:pt idx="0">
                  <c:v>16.6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MidplaneFrameView!$A$4:$A$13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MidplaneFrameView!$C$4:$C$13</c:f>
              <c:numCache>
                <c:ptCount val="10"/>
                <c:pt idx="0">
                  <c:v>-0.4924475865660315</c:v>
                </c:pt>
                <c:pt idx="1">
                  <c:v>-0.5229176026585542</c:v>
                </c:pt>
                <c:pt idx="2">
                  <c:v>-0.5303877206988307</c:v>
                </c:pt>
                <c:pt idx="3">
                  <c:v>-0.5418576348435996</c:v>
                </c:pt>
                <c:pt idx="4">
                  <c:v>-0.541327479407227</c:v>
                </c:pt>
                <c:pt idx="5">
                  <c:v>-0.5372088172935591</c:v>
                </c:pt>
                <c:pt idx="6">
                  <c:v>-0.537976856446227</c:v>
                </c:pt>
                <c:pt idx="7">
                  <c:v>-0.5387448955988948</c:v>
                </c:pt>
                <c:pt idx="8">
                  <c:v>-0.5313202989325145</c:v>
                </c:pt>
                <c:pt idx="9">
                  <c:v>-0.5078964766814871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MidplaneFrameView!$D$3</c:f>
              <c:strCache>
                <c:ptCount val="1"/>
                <c:pt idx="0">
                  <c:v>32.0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MidplaneFrameView!$A$4:$A$13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MidplaneFrameView!$D$4:$D$13</c:f>
              <c:numCache>
                <c:ptCount val="10"/>
                <c:pt idx="0">
                  <c:v>-0.4958775911579503</c:v>
                </c:pt>
                <c:pt idx="1">
                  <c:v>-0.5243474357215777</c:v>
                </c:pt>
                <c:pt idx="2">
                  <c:v>-0.5368176233429958</c:v>
                </c:pt>
                <c:pt idx="3">
                  <c:v>-0.5432874679066232</c:v>
                </c:pt>
                <c:pt idx="4">
                  <c:v>-0.5397576555280412</c:v>
                </c:pt>
                <c:pt idx="5">
                  <c:v>-0.5342688221477055</c:v>
                </c:pt>
                <c:pt idx="6">
                  <c:v>-0.5370369892222938</c:v>
                </c:pt>
                <c:pt idx="7">
                  <c:v>-0.539805156296882</c:v>
                </c:pt>
                <c:pt idx="8">
                  <c:v>-0.5323806909943374</c:v>
                </c:pt>
                <c:pt idx="9">
                  <c:v>-0.5069564815356336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MidplaneFrameView!$E$3</c:f>
              <c:strCache>
                <c:ptCount val="1"/>
                <c:pt idx="0">
                  <c:v>47.4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MidplaneFrameView!$A$4:$A$13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MidplaneFrameView!$E$4:$E$13</c:f>
              <c:numCache>
                <c:ptCount val="10"/>
                <c:pt idx="0">
                  <c:v>-0.49530769769762295</c:v>
                </c:pt>
                <c:pt idx="1">
                  <c:v>-0.5227774403134965</c:v>
                </c:pt>
                <c:pt idx="2">
                  <c:v>-0.5332476279349145</c:v>
                </c:pt>
                <c:pt idx="3">
                  <c:v>-0.542717472498542</c:v>
                </c:pt>
                <c:pt idx="4">
                  <c:v>-0.5401874885910647</c:v>
                </c:pt>
                <c:pt idx="5">
                  <c:v>-0.525328827001852</c:v>
                </c:pt>
                <c:pt idx="6">
                  <c:v>-0.53059686615452</c:v>
                </c:pt>
                <c:pt idx="7">
                  <c:v>-0.5358649053071878</c:v>
                </c:pt>
                <c:pt idx="8">
                  <c:v>-0.5284406958484839</c:v>
                </c:pt>
                <c:pt idx="9">
                  <c:v>-0.5020163550259441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MidplaneFrameView!$F$3</c:f>
              <c:strCache>
                <c:ptCount val="1"/>
                <c:pt idx="0">
                  <c:v>62.8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MidplaneFrameView!$A$4:$A$13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MidplaneFrameView!$F$4:$F$13</c:f>
              <c:numCache>
                <c:ptCount val="10"/>
                <c:pt idx="0">
                  <c:v>-0.505737600341788</c:v>
                </c:pt>
                <c:pt idx="1">
                  <c:v>-0.5372074449054154</c:v>
                </c:pt>
                <c:pt idx="2">
                  <c:v>-0.5526774609979381</c:v>
                </c:pt>
                <c:pt idx="3">
                  <c:v>-0.5581474770904609</c:v>
                </c:pt>
                <c:pt idx="4">
                  <c:v>-0.5496174931829835</c:v>
                </c:pt>
                <c:pt idx="5">
                  <c:v>-0.5303888318559985</c:v>
                </c:pt>
                <c:pt idx="6">
                  <c:v>-0.5426568710086663</c:v>
                </c:pt>
                <c:pt idx="7">
                  <c:v>-0.5549249101613343</c:v>
                </c:pt>
                <c:pt idx="8">
                  <c:v>-0.5465007007026303</c:v>
                </c:pt>
                <c:pt idx="9">
                  <c:v>-0.5170764912439264</c:v>
                </c:pt>
              </c:numCache>
            </c:numRef>
          </c:yVal>
          <c:smooth val="1"/>
        </c:ser>
        <c:axId val="9723792"/>
        <c:axId val="20405265"/>
      </c:scatterChart>
      <c:valAx>
        <c:axId val="9723792"/>
        <c:scaling>
          <c:orientation val="minMax"/>
          <c:max val="8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x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405265"/>
        <c:crossesAt val="-99999"/>
        <c:crossBetween val="midCat"/>
        <c:dispUnits/>
        <c:majorUnit val="20"/>
      </c:valAx>
      <c:valAx>
        <c:axId val="20405265"/>
        <c:scaling>
          <c:orientation val="minMax"/>
          <c:max val="-0.4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z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723792"/>
        <c:crossesAt val="-100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Helv"/>
                <a:ea typeface="Helv"/>
                <a:cs typeface="Helv"/>
              </a:rPr>
              <a:t>Lower surface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345"/>
          <c:w val="0.73525"/>
          <c:h val="0.75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MidplaneFrameView!$A$4</c:f>
              <c:strCache>
                <c:ptCount val="1"/>
                <c:pt idx="0">
                  <c:v>-61.0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MidplaneFrameView!$B$3:$F$3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MidplaneFrameView!$B$4:$F$4</c:f>
              <c:numCache>
                <c:ptCount val="5"/>
                <c:pt idx="0">
                  <c:v>-0.4920176839218664</c:v>
                </c:pt>
                <c:pt idx="1">
                  <c:v>-0.4924475865660315</c:v>
                </c:pt>
                <c:pt idx="2">
                  <c:v>-0.4958775911579503</c:v>
                </c:pt>
                <c:pt idx="3">
                  <c:v>-0.49530769769762295</c:v>
                </c:pt>
                <c:pt idx="4">
                  <c:v>-0.505737600341788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MidplaneFrameView!$A$5</c:f>
              <c:strCache>
                <c:ptCount val="1"/>
                <c:pt idx="0">
                  <c:v>-46.6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MidplaneFrameView!$B$3:$F$3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MidplaneFrameView!$B$5:$F$5</c:f>
              <c:numCache>
                <c:ptCount val="5"/>
                <c:pt idx="0">
                  <c:v>-0.52348742653774</c:v>
                </c:pt>
                <c:pt idx="1">
                  <c:v>-0.5229176026585542</c:v>
                </c:pt>
                <c:pt idx="2">
                  <c:v>-0.5243474357215777</c:v>
                </c:pt>
                <c:pt idx="3">
                  <c:v>-0.5227774403134965</c:v>
                </c:pt>
                <c:pt idx="4">
                  <c:v>-0.5372074449054154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MidplaneFrameView!$A$6</c:f>
              <c:strCache>
                <c:ptCount val="1"/>
                <c:pt idx="0">
                  <c:v>-32.2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MidplaneFrameView!$B$3:$F$3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MidplaneFrameView!$B$6:$F$6</c:f>
              <c:numCache>
                <c:ptCount val="5"/>
                <c:pt idx="0">
                  <c:v>-0.5419575445780166</c:v>
                </c:pt>
                <c:pt idx="1">
                  <c:v>-0.5303877206988307</c:v>
                </c:pt>
                <c:pt idx="2">
                  <c:v>-0.5368176233429958</c:v>
                </c:pt>
                <c:pt idx="3">
                  <c:v>-0.5332476279349145</c:v>
                </c:pt>
                <c:pt idx="4">
                  <c:v>-0.5526774609979381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MidplaneFrameView!$A$7</c:f>
              <c:strCache>
                <c:ptCount val="1"/>
                <c:pt idx="0">
                  <c:v>-17.8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MidplaneFrameView!$B$3:$F$3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MidplaneFrameView!$B$7:$F$7</c:f>
              <c:numCache>
                <c:ptCount val="5"/>
                <c:pt idx="0">
                  <c:v>-0.5484274587227855</c:v>
                </c:pt>
                <c:pt idx="1">
                  <c:v>-0.5418576348435996</c:v>
                </c:pt>
                <c:pt idx="2">
                  <c:v>-0.5432874679066232</c:v>
                </c:pt>
                <c:pt idx="3">
                  <c:v>-0.542717472498542</c:v>
                </c:pt>
                <c:pt idx="4">
                  <c:v>-0.5581474770904609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MidplaneFrameView!$A$8</c:f>
              <c:strCache>
                <c:ptCount val="1"/>
                <c:pt idx="0">
                  <c:v>-3.4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MidplaneFrameView!$B$3:$F$3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MidplaneFrameView!$B$8:$F$8</c:f>
              <c:numCache>
                <c:ptCount val="5"/>
                <c:pt idx="0">
                  <c:v>-0.5438974748153081</c:v>
                </c:pt>
                <c:pt idx="1">
                  <c:v>-0.541327479407227</c:v>
                </c:pt>
                <c:pt idx="2">
                  <c:v>-0.5397576555280412</c:v>
                </c:pt>
                <c:pt idx="3">
                  <c:v>-0.5401874885910647</c:v>
                </c:pt>
                <c:pt idx="4">
                  <c:v>-0.5496174931829835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MidplaneFrameView!$A$9</c:f>
              <c:strCache>
                <c:ptCount val="1"/>
                <c:pt idx="0">
                  <c:v>2.1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MidplaneFrameView!$B$3:$F$3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MidplaneFrameView!$B$9:$F$9</c:f>
              <c:numCache>
                <c:ptCount val="5"/>
                <c:pt idx="0">
                  <c:v>-0.5241488124394127</c:v>
                </c:pt>
                <c:pt idx="1">
                  <c:v>-0.5372088172935591</c:v>
                </c:pt>
                <c:pt idx="2">
                  <c:v>-0.5342688221477055</c:v>
                </c:pt>
                <c:pt idx="3">
                  <c:v>-0.525328827001852</c:v>
                </c:pt>
                <c:pt idx="4">
                  <c:v>-0.5303888318559985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MidplaneFrameView!$A$10</c:f>
              <c:strCache>
                <c:ptCount val="1"/>
                <c:pt idx="0">
                  <c:v>17.0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MidplaneFrameView!$B$3:$F$3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MidplaneFrameView!$B$10:$F$10</c:f>
              <c:numCache>
                <c:ptCount val="5"/>
                <c:pt idx="0">
                  <c:v>-0.5319169795140009</c:v>
                </c:pt>
                <c:pt idx="1">
                  <c:v>-0.537976856446227</c:v>
                </c:pt>
                <c:pt idx="2">
                  <c:v>-0.5370369892222938</c:v>
                </c:pt>
                <c:pt idx="3">
                  <c:v>-0.53059686615452</c:v>
                </c:pt>
                <c:pt idx="4">
                  <c:v>-0.5426568710086663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MidplaneFrameView!$A$11</c:f>
              <c:strCache>
                <c:ptCount val="1"/>
                <c:pt idx="0">
                  <c:v>31.9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MidplaneFrameView!$B$3:$F$3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MidplaneFrameView!$B$11:$F$11</c:f>
              <c:numCache>
                <c:ptCount val="5"/>
                <c:pt idx="0">
                  <c:v>-0.539685146588589</c:v>
                </c:pt>
                <c:pt idx="1">
                  <c:v>-0.5387448955988948</c:v>
                </c:pt>
                <c:pt idx="2">
                  <c:v>-0.539805156296882</c:v>
                </c:pt>
                <c:pt idx="3">
                  <c:v>-0.5358649053071878</c:v>
                </c:pt>
                <c:pt idx="4">
                  <c:v>-0.5549249101613343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MidplaneFrameView!$A$12</c:f>
              <c:strCache>
                <c:ptCount val="1"/>
                <c:pt idx="0">
                  <c:v>46.3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MidplaneFrameView!$B$3:$F$3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MidplaneFrameView!$B$12:$F$12</c:f>
              <c:numCache>
                <c:ptCount val="5"/>
                <c:pt idx="0">
                  <c:v>-0.5252606812860445</c:v>
                </c:pt>
                <c:pt idx="1">
                  <c:v>-0.5313202989325145</c:v>
                </c:pt>
                <c:pt idx="2">
                  <c:v>-0.5323806909943374</c:v>
                </c:pt>
                <c:pt idx="3">
                  <c:v>-0.5284406958484839</c:v>
                </c:pt>
                <c:pt idx="4">
                  <c:v>-0.5465007007026303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MidplaneFrameView!$A$13</c:f>
              <c:strCache>
                <c:ptCount val="1"/>
                <c:pt idx="0">
                  <c:v>60.7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MidplaneFrameView!$B$3:$F$3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MidplaneFrameView!$B$13:$F$13</c:f>
              <c:numCache>
                <c:ptCount val="5"/>
                <c:pt idx="0">
                  <c:v>-0.4848364718273406</c:v>
                </c:pt>
                <c:pt idx="1">
                  <c:v>-0.5078964766814871</c:v>
                </c:pt>
                <c:pt idx="2">
                  <c:v>-0.5069564815356336</c:v>
                </c:pt>
                <c:pt idx="3">
                  <c:v>-0.5020163550259441</c:v>
                </c:pt>
                <c:pt idx="4">
                  <c:v>-0.5170764912439264</c:v>
                </c:pt>
              </c:numCache>
            </c:numRef>
          </c:yVal>
          <c:smooth val="1"/>
        </c:ser>
        <c:axId val="49429658"/>
        <c:axId val="42213739"/>
      </c:scatterChart>
      <c:valAx>
        <c:axId val="49429658"/>
        <c:scaling>
          <c:orientation val="minMax"/>
          <c:max val="8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y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213739"/>
        <c:crossesAt val="-99999"/>
        <c:crossBetween val="midCat"/>
        <c:dispUnits/>
        <c:majorUnit val="20"/>
      </c:valAx>
      <c:valAx>
        <c:axId val="42213739"/>
        <c:scaling>
          <c:orientation val="minMax"/>
          <c:max val="-0.4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z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429658"/>
        <c:crossesAt val="-100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Upper surface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3325"/>
          <c:w val="0.73325"/>
          <c:h val="0.75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MidplaneFrameView!$I$3</c:f>
              <c:strCache>
                <c:ptCount val="1"/>
                <c:pt idx="0">
                  <c:v>1.2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MidplaneFrameView!$H$4:$H$13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MidplaneFrameView!$I$4:$I$13</c:f>
              <c:numCache>
                <c:ptCount val="10"/>
                <c:pt idx="0">
                  <c:v>0.49445759025561575</c:v>
                </c:pt>
                <c:pt idx="1">
                  <c:v>0.527987574163093</c:v>
                </c:pt>
                <c:pt idx="2">
                  <c:v>0.5465175580705703</c:v>
                </c:pt>
                <c:pt idx="3">
                  <c:v>0.5530476439258014</c:v>
                </c:pt>
                <c:pt idx="4">
                  <c:v>0.548577525885525</c:v>
                </c:pt>
                <c:pt idx="5">
                  <c:v>0.5424650469578307</c:v>
                </c:pt>
                <c:pt idx="6">
                  <c:v>0.5422008142000099</c:v>
                </c:pt>
                <c:pt idx="7">
                  <c:v>0.5419365814421888</c:v>
                </c:pt>
                <c:pt idx="8">
                  <c:v>0.5273607909008926</c:v>
                </c:pt>
                <c:pt idx="9">
                  <c:v>0.5027850003595966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MidplaneFrameView!$J$3</c:f>
              <c:strCache>
                <c:ptCount val="1"/>
                <c:pt idx="0">
                  <c:v>16.6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MidplaneFrameView!$H$4:$H$13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MidplaneFrameView!$J$4:$J$13</c:f>
              <c:numCache>
                <c:ptCount val="10"/>
                <c:pt idx="0">
                  <c:v>0.48402758566369697</c:v>
                </c:pt>
                <c:pt idx="1">
                  <c:v>0.5115575695711742</c:v>
                </c:pt>
                <c:pt idx="2">
                  <c:v>0.5280875534786516</c:v>
                </c:pt>
                <c:pt idx="3">
                  <c:v>0.5346175373861287</c:v>
                </c:pt>
                <c:pt idx="4">
                  <c:v>0.5391475212936061</c:v>
                </c:pt>
                <c:pt idx="5">
                  <c:v>0.5264050421036844</c:v>
                </c:pt>
                <c:pt idx="6">
                  <c:v>0.5266408093458634</c:v>
                </c:pt>
                <c:pt idx="7">
                  <c:v>0.5268765765880423</c:v>
                </c:pt>
                <c:pt idx="8">
                  <c:v>0.5173007860467463</c:v>
                </c:pt>
                <c:pt idx="9">
                  <c:v>0.4957249955054502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MidplaneFrameView!$K$3</c:f>
              <c:strCache>
                <c:ptCount val="1"/>
                <c:pt idx="0">
                  <c:v>32.0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MidplaneFrameView!$H$4:$H$13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MidplaneFrameView!$K$4:$K$13</c:f>
              <c:numCache>
                <c:ptCount val="10"/>
                <c:pt idx="0">
                  <c:v>0.4965975810717781</c:v>
                </c:pt>
                <c:pt idx="1">
                  <c:v>0.5251275649792553</c:v>
                </c:pt>
                <c:pt idx="2">
                  <c:v>0.5366575488867327</c:v>
                </c:pt>
                <c:pt idx="3">
                  <c:v>0.5381875327942099</c:v>
                </c:pt>
                <c:pt idx="4">
                  <c:v>0.536717618649441</c:v>
                </c:pt>
                <c:pt idx="5">
                  <c:v>0.524345037249538</c:v>
                </c:pt>
                <c:pt idx="6">
                  <c:v>0.5285808044917168</c:v>
                </c:pt>
                <c:pt idx="7">
                  <c:v>0.5328165717338957</c:v>
                </c:pt>
                <c:pt idx="8">
                  <c:v>0.5292407811925998</c:v>
                </c:pt>
                <c:pt idx="9">
                  <c:v>0.5096649906513038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MidplaneFrameView!$L$3</c:f>
              <c:strCache>
                <c:ptCount val="1"/>
                <c:pt idx="0">
                  <c:v>47.4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MidplaneFrameView!$H$4:$H$13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MidplaneFrameView!$L$4:$L$13</c:f>
              <c:numCache>
                <c:ptCount val="10"/>
                <c:pt idx="0">
                  <c:v>0.5021675764798592</c:v>
                </c:pt>
                <c:pt idx="1">
                  <c:v>0.5296975603873364</c:v>
                </c:pt>
                <c:pt idx="2">
                  <c:v>0.5382275442948138</c:v>
                </c:pt>
                <c:pt idx="3">
                  <c:v>0.5467576301500449</c:v>
                </c:pt>
                <c:pt idx="4">
                  <c:v>0.5422875121097683</c:v>
                </c:pt>
                <c:pt idx="5">
                  <c:v>0.5292850323953915</c:v>
                </c:pt>
                <c:pt idx="6">
                  <c:v>0.5340209932414086</c:v>
                </c:pt>
                <c:pt idx="7">
                  <c:v>0.5387569540874259</c:v>
                </c:pt>
                <c:pt idx="8">
                  <c:v>0.5361807763384534</c:v>
                </c:pt>
                <c:pt idx="9">
                  <c:v>0.5126049857971573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MidplaneFrameView!$M$3</c:f>
              <c:strCache>
                <c:ptCount val="1"/>
                <c:pt idx="0">
                  <c:v>62.8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MidplaneFrameView!$H$4:$H$13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MidplaneFrameView!$M$4:$M$13</c:f>
              <c:numCache>
                <c:ptCount val="10"/>
                <c:pt idx="0">
                  <c:v>0.5067375718879403</c:v>
                </c:pt>
                <c:pt idx="1">
                  <c:v>0.5342675557954177</c:v>
                </c:pt>
                <c:pt idx="2">
                  <c:v>0.5477975397028949</c:v>
                </c:pt>
                <c:pt idx="3">
                  <c:v>0.5533275236103723</c:v>
                </c:pt>
                <c:pt idx="4">
                  <c:v>0.5538575075178496</c:v>
                </c:pt>
                <c:pt idx="5">
                  <c:v>0.543225027541245</c:v>
                </c:pt>
                <c:pt idx="6">
                  <c:v>0.5464607947834239</c:v>
                </c:pt>
                <c:pt idx="7">
                  <c:v>0.5496965620256031</c:v>
                </c:pt>
                <c:pt idx="8">
                  <c:v>0.5401207714843069</c:v>
                </c:pt>
                <c:pt idx="9">
                  <c:v>0.5185449809430108</c:v>
                </c:pt>
              </c:numCache>
            </c:numRef>
          </c:yVal>
          <c:smooth val="1"/>
        </c:ser>
        <c:axId val="44379332"/>
        <c:axId val="63869669"/>
      </c:scatterChart>
      <c:valAx>
        <c:axId val="44379332"/>
        <c:scaling>
          <c:orientation val="minMax"/>
          <c:max val="8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x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869669"/>
        <c:crossesAt val="-99999"/>
        <c:crossBetween val="midCat"/>
        <c:dispUnits/>
        <c:majorUnit val="20"/>
      </c:valAx>
      <c:valAx>
        <c:axId val="63869669"/>
        <c:scaling>
          <c:orientation val="minMax"/>
          <c:max val="0.7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z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4379332"/>
        <c:crossesAt val="-100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Helv"/>
                <a:ea typeface="Helv"/>
                <a:cs typeface="Helv"/>
              </a:rPr>
              <a:t>Upper surface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3375"/>
          <c:w val="0.73525"/>
          <c:h val="0.75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MidplaneFrameView!$H$4</c:f>
              <c:strCache>
                <c:ptCount val="1"/>
                <c:pt idx="0">
                  <c:v>-61.0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MidplaneFrameView!$I$3:$M$3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MidplaneFrameView!$I$4:$M$4</c:f>
              <c:numCache>
                <c:ptCount val="5"/>
                <c:pt idx="0">
                  <c:v>0.49445759025561575</c:v>
                </c:pt>
                <c:pt idx="1">
                  <c:v>0.48402758566369697</c:v>
                </c:pt>
                <c:pt idx="2">
                  <c:v>0.4965975810717781</c:v>
                </c:pt>
                <c:pt idx="3">
                  <c:v>0.5021675764798592</c:v>
                </c:pt>
                <c:pt idx="4">
                  <c:v>0.5067375718879403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MidplaneFrameView!$H$5</c:f>
              <c:strCache>
                <c:ptCount val="1"/>
                <c:pt idx="0">
                  <c:v>-46.6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MidplaneFrameView!$I$3:$M$3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MidplaneFrameView!$I$5:$M$5</c:f>
              <c:numCache>
                <c:ptCount val="5"/>
                <c:pt idx="0">
                  <c:v>0.527987574163093</c:v>
                </c:pt>
                <c:pt idx="1">
                  <c:v>0.5115575695711742</c:v>
                </c:pt>
                <c:pt idx="2">
                  <c:v>0.5251275649792553</c:v>
                </c:pt>
                <c:pt idx="3">
                  <c:v>0.5296975603873364</c:v>
                </c:pt>
                <c:pt idx="4">
                  <c:v>0.5342675557954177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MidplaneFrameView!$H$6</c:f>
              <c:strCache>
                <c:ptCount val="1"/>
                <c:pt idx="0">
                  <c:v>-32.2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MidplaneFrameView!$I$3:$M$3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MidplaneFrameView!$I$6:$M$6</c:f>
              <c:numCache>
                <c:ptCount val="5"/>
                <c:pt idx="0">
                  <c:v>0.5465175580705703</c:v>
                </c:pt>
                <c:pt idx="1">
                  <c:v>0.5280875534786516</c:v>
                </c:pt>
                <c:pt idx="2">
                  <c:v>0.5366575488867327</c:v>
                </c:pt>
                <c:pt idx="3">
                  <c:v>0.5382275442948138</c:v>
                </c:pt>
                <c:pt idx="4">
                  <c:v>0.5477975397028949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MidplaneFrameView!$H$7</c:f>
              <c:strCache>
                <c:ptCount val="1"/>
                <c:pt idx="0">
                  <c:v>-17.8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MidplaneFrameView!$I$3:$M$3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MidplaneFrameView!$I$7:$M$7</c:f>
              <c:numCache>
                <c:ptCount val="5"/>
                <c:pt idx="0">
                  <c:v>0.5530476439258014</c:v>
                </c:pt>
                <c:pt idx="1">
                  <c:v>0.5346175373861287</c:v>
                </c:pt>
                <c:pt idx="2">
                  <c:v>0.5381875327942099</c:v>
                </c:pt>
                <c:pt idx="3">
                  <c:v>0.5467576301500449</c:v>
                </c:pt>
                <c:pt idx="4">
                  <c:v>0.5533275236103723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MidplaneFrameView!$H$8</c:f>
              <c:strCache>
                <c:ptCount val="1"/>
                <c:pt idx="0">
                  <c:v>-3.4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MidplaneFrameView!$I$3:$M$3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MidplaneFrameView!$I$8:$M$8</c:f>
              <c:numCache>
                <c:ptCount val="5"/>
                <c:pt idx="0">
                  <c:v>0.548577525885525</c:v>
                </c:pt>
                <c:pt idx="1">
                  <c:v>0.5391475212936061</c:v>
                </c:pt>
                <c:pt idx="2">
                  <c:v>0.536717618649441</c:v>
                </c:pt>
                <c:pt idx="3">
                  <c:v>0.5422875121097683</c:v>
                </c:pt>
                <c:pt idx="4">
                  <c:v>0.5538575075178496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MidplaneFrameView!$H$9</c:f>
              <c:strCache>
                <c:ptCount val="1"/>
                <c:pt idx="0">
                  <c:v>2.1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MidplaneFrameView!$I$3:$M$3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MidplaneFrameView!$I$9:$M$9</c:f>
              <c:numCache>
                <c:ptCount val="5"/>
                <c:pt idx="0">
                  <c:v>0.5424650469578307</c:v>
                </c:pt>
                <c:pt idx="1">
                  <c:v>0.5264050421036844</c:v>
                </c:pt>
                <c:pt idx="2">
                  <c:v>0.524345037249538</c:v>
                </c:pt>
                <c:pt idx="3">
                  <c:v>0.5292850323953915</c:v>
                </c:pt>
                <c:pt idx="4">
                  <c:v>0.543225027541245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MidplaneFrameView!$H$10</c:f>
              <c:strCache>
                <c:ptCount val="1"/>
                <c:pt idx="0">
                  <c:v>17.0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MidplaneFrameView!$I$3:$M$3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MidplaneFrameView!$I$10:$M$10</c:f>
              <c:numCache>
                <c:ptCount val="5"/>
                <c:pt idx="0">
                  <c:v>0.5422008142000099</c:v>
                </c:pt>
                <c:pt idx="1">
                  <c:v>0.5266408093458634</c:v>
                </c:pt>
                <c:pt idx="2">
                  <c:v>0.5285808044917168</c:v>
                </c:pt>
                <c:pt idx="3">
                  <c:v>0.5340209932414086</c:v>
                </c:pt>
                <c:pt idx="4">
                  <c:v>0.5464607947834239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MidplaneFrameView!$H$11</c:f>
              <c:strCache>
                <c:ptCount val="1"/>
                <c:pt idx="0">
                  <c:v>31.9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MidplaneFrameView!$I$3:$M$3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MidplaneFrameView!$I$11:$M$11</c:f>
              <c:numCache>
                <c:ptCount val="5"/>
                <c:pt idx="0">
                  <c:v>0.5419365814421888</c:v>
                </c:pt>
                <c:pt idx="1">
                  <c:v>0.5268765765880423</c:v>
                </c:pt>
                <c:pt idx="2">
                  <c:v>0.5328165717338957</c:v>
                </c:pt>
                <c:pt idx="3">
                  <c:v>0.5387569540874259</c:v>
                </c:pt>
                <c:pt idx="4">
                  <c:v>0.5496965620256031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MidplaneFrameView!$H$12</c:f>
              <c:strCache>
                <c:ptCount val="1"/>
                <c:pt idx="0">
                  <c:v>46.3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MidplaneFrameView!$I$3:$M$3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MidplaneFrameView!$I$12:$M$12</c:f>
              <c:numCache>
                <c:ptCount val="5"/>
                <c:pt idx="0">
                  <c:v>0.5273607909008926</c:v>
                </c:pt>
                <c:pt idx="1">
                  <c:v>0.5173007860467463</c:v>
                </c:pt>
                <c:pt idx="2">
                  <c:v>0.5292407811925998</c:v>
                </c:pt>
                <c:pt idx="3">
                  <c:v>0.5361807763384534</c:v>
                </c:pt>
                <c:pt idx="4">
                  <c:v>0.5401207714843069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MidplaneFrameView!$H$13</c:f>
              <c:strCache>
                <c:ptCount val="1"/>
                <c:pt idx="0">
                  <c:v>60.7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MidplaneFrameView!$I$3:$M$3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MidplaneFrameView!$I$13:$M$13</c:f>
              <c:numCache>
                <c:ptCount val="5"/>
                <c:pt idx="0">
                  <c:v>0.5027850003595966</c:v>
                </c:pt>
                <c:pt idx="1">
                  <c:v>0.4957249955054502</c:v>
                </c:pt>
                <c:pt idx="2">
                  <c:v>0.5096649906513038</c:v>
                </c:pt>
                <c:pt idx="3">
                  <c:v>0.5126049857971573</c:v>
                </c:pt>
                <c:pt idx="4">
                  <c:v>0.5185449809430108</c:v>
                </c:pt>
              </c:numCache>
            </c:numRef>
          </c:yVal>
          <c:smooth val="1"/>
        </c:ser>
        <c:axId val="37956110"/>
        <c:axId val="6060671"/>
      </c:scatterChart>
      <c:valAx>
        <c:axId val="37956110"/>
        <c:scaling>
          <c:orientation val="minMax"/>
          <c:max val="8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y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60671"/>
        <c:crossesAt val="-99999"/>
        <c:crossBetween val="midCat"/>
        <c:dispUnits/>
        <c:majorUnit val="20"/>
      </c:valAx>
      <c:valAx>
        <c:axId val="6060671"/>
        <c:scaling>
          <c:orientation val="minMax"/>
          <c:max val="0.7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z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956110"/>
        <c:crossesAt val="-100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Helv"/>
                <a:ea typeface="Helv"/>
                <a:cs typeface="Helv"/>
              </a:rPr>
              <a:t>Lower surface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3375"/>
          <c:w val="0.7335"/>
          <c:h val="0.75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OptimalFrameView!$B$3</c:f>
              <c:strCache>
                <c:ptCount val="1"/>
                <c:pt idx="0">
                  <c:v>1.2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OptimalFrameView!$A$4:$A$13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OptimalFrameView!$B$4:$B$13</c:f>
              <c:numCache>
                <c:ptCount val="10"/>
                <c:pt idx="0">
                  <c:v>0.04912120496702255</c:v>
                </c:pt>
                <c:pt idx="1">
                  <c:v>0.017651462351148894</c:v>
                </c:pt>
                <c:pt idx="2">
                  <c:v>-0.0008186556891276453</c:v>
                </c:pt>
                <c:pt idx="3">
                  <c:v>-0.007288569833896585</c:v>
                </c:pt>
                <c:pt idx="4">
                  <c:v>-0.002758585926419199</c:v>
                </c:pt>
                <c:pt idx="5">
                  <c:v>0.016990076449476255</c:v>
                </c:pt>
                <c:pt idx="6">
                  <c:v>0.009221909374888093</c:v>
                </c:pt>
                <c:pt idx="7">
                  <c:v>0.0014537423002999317</c:v>
                </c:pt>
                <c:pt idx="8">
                  <c:v>0.01587820760284442</c:v>
                </c:pt>
                <c:pt idx="9">
                  <c:v>0.05630241706154837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OptimalFrameView!$C$3</c:f>
              <c:strCache>
                <c:ptCount val="1"/>
                <c:pt idx="0">
                  <c:v>16.6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OptimalFrameView!$A$4:$A$13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OptimalFrameView!$C$4:$C$13</c:f>
              <c:numCache>
                <c:ptCount val="10"/>
                <c:pt idx="0">
                  <c:v>0.048691302322857455</c:v>
                </c:pt>
                <c:pt idx="1">
                  <c:v>0.0182212862303347</c:v>
                </c:pt>
                <c:pt idx="2">
                  <c:v>0.01075116819005828</c:v>
                </c:pt>
                <c:pt idx="3">
                  <c:v>-0.0007187459547106645</c:v>
                </c:pt>
                <c:pt idx="4">
                  <c:v>-0.00018859051833808316</c:v>
                </c:pt>
                <c:pt idx="5">
                  <c:v>0.003930071595329876</c:v>
                </c:pt>
                <c:pt idx="6">
                  <c:v>0.0031620324426619995</c:v>
                </c:pt>
                <c:pt idx="7">
                  <c:v>0.002393993289994123</c:v>
                </c:pt>
                <c:pt idx="8">
                  <c:v>0.009818589956374413</c:v>
                </c:pt>
                <c:pt idx="9">
                  <c:v>0.03324241220740187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OptimalFrameView!$D$3</c:f>
              <c:strCache>
                <c:ptCount val="1"/>
                <c:pt idx="0">
                  <c:v>32.0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OptimalFrameView!$A$4:$A$13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OptimalFrameView!$D$4:$D$13</c:f>
              <c:numCache>
                <c:ptCount val="10"/>
                <c:pt idx="0">
                  <c:v>0.04526129773093862</c:v>
                </c:pt>
                <c:pt idx="1">
                  <c:v>0.016791453167311232</c:v>
                </c:pt>
                <c:pt idx="2">
                  <c:v>0.004321265545893183</c:v>
                </c:pt>
                <c:pt idx="3">
                  <c:v>-0.0021485790177342423</c:v>
                </c:pt>
                <c:pt idx="4">
                  <c:v>0.0013812333608477223</c:v>
                </c:pt>
                <c:pt idx="5">
                  <c:v>0.0068700667411834004</c:v>
                </c:pt>
                <c:pt idx="6">
                  <c:v>0.004101899666595132</c:v>
                </c:pt>
                <c:pt idx="7">
                  <c:v>0.0013337325920069754</c:v>
                </c:pt>
                <c:pt idx="8">
                  <c:v>0.008758197894551567</c:v>
                </c:pt>
                <c:pt idx="9">
                  <c:v>0.034182407353255395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OptimalFrameView!$E$3</c:f>
              <c:strCache>
                <c:ptCount val="1"/>
                <c:pt idx="0">
                  <c:v>47.4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OptimalFrameView!$A$4:$A$13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OptimalFrameView!$E$4:$E$13</c:f>
              <c:numCache>
                <c:ptCount val="10"/>
                <c:pt idx="0">
                  <c:v>0.045831191191265996</c:v>
                </c:pt>
                <c:pt idx="1">
                  <c:v>0.01836144857539246</c:v>
                </c:pt>
                <c:pt idx="2">
                  <c:v>0.00789126095397441</c:v>
                </c:pt>
                <c:pt idx="3">
                  <c:v>-0.001578583609653017</c:v>
                </c:pt>
                <c:pt idx="4">
                  <c:v>0.0009514002978242564</c:v>
                </c:pt>
                <c:pt idx="5">
                  <c:v>0.01581006188703693</c:v>
                </c:pt>
                <c:pt idx="6">
                  <c:v>0.010542022734368994</c:v>
                </c:pt>
                <c:pt idx="7">
                  <c:v>0.005273983581701169</c:v>
                </c:pt>
                <c:pt idx="8">
                  <c:v>0.012698193040405092</c:v>
                </c:pt>
                <c:pt idx="9">
                  <c:v>0.03912253386294484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OptimalFrameView!$F$3</c:f>
              <c:strCache>
                <c:ptCount val="1"/>
                <c:pt idx="0">
                  <c:v>62.8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OptimalFrameView!$A$4:$A$13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OptimalFrameView!$F$4:$F$13</c:f>
              <c:numCache>
                <c:ptCount val="10"/>
                <c:pt idx="0">
                  <c:v>0.035401288547100895</c:v>
                </c:pt>
                <c:pt idx="1">
                  <c:v>0.003931443983473559</c:v>
                </c:pt>
                <c:pt idx="2">
                  <c:v>-0.011538572109049183</c:v>
                </c:pt>
                <c:pt idx="3">
                  <c:v>-0.017008588201571917</c:v>
                </c:pt>
                <c:pt idx="4">
                  <c:v>-0.008478604294094527</c:v>
                </c:pt>
                <c:pt idx="5">
                  <c:v>0.010750057032890448</c:v>
                </c:pt>
                <c:pt idx="6">
                  <c:v>-0.0015179821197773835</c:v>
                </c:pt>
                <c:pt idx="7">
                  <c:v>-0.013786021272445326</c:v>
                </c:pt>
                <c:pt idx="8">
                  <c:v>-0.005361811813741402</c:v>
                </c:pt>
                <c:pt idx="9">
                  <c:v>0.02406239764496254</c:v>
                </c:pt>
              </c:numCache>
            </c:numRef>
          </c:yVal>
          <c:smooth val="1"/>
        </c:ser>
        <c:axId val="54546040"/>
        <c:axId val="21152313"/>
      </c:scatterChart>
      <c:valAx>
        <c:axId val="54546040"/>
        <c:scaling>
          <c:orientation val="minMax"/>
          <c:max val="8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x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152313"/>
        <c:crossesAt val="-100"/>
        <c:crossBetween val="midCat"/>
        <c:dispUnits/>
        <c:majorUnit val="20"/>
      </c:valAx>
      <c:valAx>
        <c:axId val="21152313"/>
        <c:scaling>
          <c:orientation val="minMax"/>
          <c:max val="0.1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z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4546040"/>
        <c:crossesAt val="-100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Helv"/>
                <a:ea typeface="Helv"/>
                <a:cs typeface="Helv"/>
              </a:rPr>
              <a:t>Lower surface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3375"/>
          <c:w val="0.73375"/>
          <c:h val="0.75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OptimalFrameView!$A$4</c:f>
              <c:strCache>
                <c:ptCount val="1"/>
                <c:pt idx="0">
                  <c:v>-61.0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OptimalFrameView!$B$3:$F$3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OptimalFrameView!$B$4:$F$4</c:f>
              <c:numCache>
                <c:ptCount val="5"/>
                <c:pt idx="0">
                  <c:v>0.04912120496702255</c:v>
                </c:pt>
                <c:pt idx="1">
                  <c:v>0.048691302322857455</c:v>
                </c:pt>
                <c:pt idx="2">
                  <c:v>0.04526129773093862</c:v>
                </c:pt>
                <c:pt idx="3">
                  <c:v>0.045831191191265996</c:v>
                </c:pt>
                <c:pt idx="4">
                  <c:v>0.035401288547100895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OptimalFrameView!$A$5</c:f>
              <c:strCache>
                <c:ptCount val="1"/>
                <c:pt idx="0">
                  <c:v>-46.6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OptimalFrameView!$B$3:$F$3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OptimalFrameView!$B$5:$F$5</c:f>
              <c:numCache>
                <c:ptCount val="5"/>
                <c:pt idx="0">
                  <c:v>0.017651462351148894</c:v>
                </c:pt>
                <c:pt idx="1">
                  <c:v>0.0182212862303347</c:v>
                </c:pt>
                <c:pt idx="2">
                  <c:v>0.016791453167311232</c:v>
                </c:pt>
                <c:pt idx="3">
                  <c:v>0.01836144857539246</c:v>
                </c:pt>
                <c:pt idx="4">
                  <c:v>0.003931443983473559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OptimalFrameView!$A$6</c:f>
              <c:strCache>
                <c:ptCount val="1"/>
                <c:pt idx="0">
                  <c:v>-32.2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OptimalFrameView!$B$3:$F$3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OptimalFrameView!$B$6:$F$6</c:f>
              <c:numCache>
                <c:ptCount val="5"/>
                <c:pt idx="0">
                  <c:v>-0.0008186556891276453</c:v>
                </c:pt>
                <c:pt idx="1">
                  <c:v>0.01075116819005828</c:v>
                </c:pt>
                <c:pt idx="2">
                  <c:v>0.004321265545893183</c:v>
                </c:pt>
                <c:pt idx="3">
                  <c:v>0.00789126095397441</c:v>
                </c:pt>
                <c:pt idx="4">
                  <c:v>-0.011538572109049183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OptimalFrameView!$A$7</c:f>
              <c:strCache>
                <c:ptCount val="1"/>
                <c:pt idx="0">
                  <c:v>-17.8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OptimalFrameView!$B$3:$F$3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OptimalFrameView!$B$7:$F$7</c:f>
              <c:numCache>
                <c:ptCount val="5"/>
                <c:pt idx="0">
                  <c:v>-0.007288569833896585</c:v>
                </c:pt>
                <c:pt idx="1">
                  <c:v>-0.0007187459547106645</c:v>
                </c:pt>
                <c:pt idx="2">
                  <c:v>-0.0021485790177342423</c:v>
                </c:pt>
                <c:pt idx="3">
                  <c:v>-0.001578583609653017</c:v>
                </c:pt>
                <c:pt idx="4">
                  <c:v>-0.017008588201571917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OptimalFrameView!$A$8</c:f>
              <c:strCache>
                <c:ptCount val="1"/>
                <c:pt idx="0">
                  <c:v>-3.4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OptimalFrameView!$B$3:$F$3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OptimalFrameView!$B$8:$F$8</c:f>
              <c:numCache>
                <c:ptCount val="5"/>
                <c:pt idx="0">
                  <c:v>-0.002758585926419199</c:v>
                </c:pt>
                <c:pt idx="1">
                  <c:v>-0.00018859051833808316</c:v>
                </c:pt>
                <c:pt idx="2">
                  <c:v>0.0013812333608477223</c:v>
                </c:pt>
                <c:pt idx="3">
                  <c:v>0.0009514002978242564</c:v>
                </c:pt>
                <c:pt idx="4">
                  <c:v>-0.008478604294094527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OptimalFrameView!$A$9</c:f>
              <c:strCache>
                <c:ptCount val="1"/>
                <c:pt idx="0">
                  <c:v>2.1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OptimalFrameView!$B$3:$F$3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OptimalFrameView!$B$9:$F$9</c:f>
              <c:numCache>
                <c:ptCount val="5"/>
                <c:pt idx="0">
                  <c:v>0.016990076449476255</c:v>
                </c:pt>
                <c:pt idx="1">
                  <c:v>0.003930071595329876</c:v>
                </c:pt>
                <c:pt idx="2">
                  <c:v>0.0068700667411834004</c:v>
                </c:pt>
                <c:pt idx="3">
                  <c:v>0.01581006188703693</c:v>
                </c:pt>
                <c:pt idx="4">
                  <c:v>0.010750057032890448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OptimalFrameView!$A$10</c:f>
              <c:strCache>
                <c:ptCount val="1"/>
                <c:pt idx="0">
                  <c:v>17.0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OptimalFrameView!$B$3:$F$3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OptimalFrameView!$B$10:$F$10</c:f>
              <c:numCache>
                <c:ptCount val="5"/>
                <c:pt idx="0">
                  <c:v>0.009221909374888093</c:v>
                </c:pt>
                <c:pt idx="1">
                  <c:v>0.0031620324426619995</c:v>
                </c:pt>
                <c:pt idx="2">
                  <c:v>0.004101899666595132</c:v>
                </c:pt>
                <c:pt idx="3">
                  <c:v>0.010542022734368994</c:v>
                </c:pt>
                <c:pt idx="4">
                  <c:v>-0.0015179821197773835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OptimalFrameView!$A$11</c:f>
              <c:strCache>
                <c:ptCount val="1"/>
                <c:pt idx="0">
                  <c:v>31.9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OptimalFrameView!$B$3:$F$3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OptimalFrameView!$B$11:$F$11</c:f>
              <c:numCache>
                <c:ptCount val="5"/>
                <c:pt idx="0">
                  <c:v>0.0014537423002999317</c:v>
                </c:pt>
                <c:pt idx="1">
                  <c:v>0.002393993289994123</c:v>
                </c:pt>
                <c:pt idx="2">
                  <c:v>0.0013337325920069754</c:v>
                </c:pt>
                <c:pt idx="3">
                  <c:v>0.005273983581701169</c:v>
                </c:pt>
                <c:pt idx="4">
                  <c:v>-0.013786021272445326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OptimalFrameView!$A$12</c:f>
              <c:strCache>
                <c:ptCount val="1"/>
                <c:pt idx="0">
                  <c:v>46.3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OptimalFrameView!$B$3:$F$3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OptimalFrameView!$B$12:$F$12</c:f>
              <c:numCache>
                <c:ptCount val="5"/>
                <c:pt idx="0">
                  <c:v>0.01587820760284442</c:v>
                </c:pt>
                <c:pt idx="1">
                  <c:v>0.009818589956374413</c:v>
                </c:pt>
                <c:pt idx="2">
                  <c:v>0.008758197894551567</c:v>
                </c:pt>
                <c:pt idx="3">
                  <c:v>0.012698193040405092</c:v>
                </c:pt>
                <c:pt idx="4">
                  <c:v>-0.005361811813741402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OptimalFrameView!$A$13</c:f>
              <c:strCache>
                <c:ptCount val="1"/>
                <c:pt idx="0">
                  <c:v>60.7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OptimalFrameView!$B$3:$F$3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OptimalFrameView!$B$13:$F$13</c:f>
              <c:numCache>
                <c:ptCount val="5"/>
                <c:pt idx="0">
                  <c:v>0.05630241706154837</c:v>
                </c:pt>
                <c:pt idx="1">
                  <c:v>0.03324241220740187</c:v>
                </c:pt>
                <c:pt idx="2">
                  <c:v>0.034182407353255395</c:v>
                </c:pt>
                <c:pt idx="3">
                  <c:v>0.03912253386294484</c:v>
                </c:pt>
                <c:pt idx="4">
                  <c:v>0.02406239764496254</c:v>
                </c:pt>
              </c:numCache>
            </c:numRef>
          </c:yVal>
          <c:smooth val="1"/>
        </c:ser>
        <c:axId val="56153090"/>
        <c:axId val="35615763"/>
      </c:scatterChart>
      <c:valAx>
        <c:axId val="56153090"/>
        <c:scaling>
          <c:orientation val="minMax"/>
          <c:max val="8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y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615763"/>
        <c:crossesAt val="-100"/>
        <c:crossBetween val="midCat"/>
        <c:dispUnits/>
        <c:majorUnit val="20"/>
      </c:valAx>
      <c:valAx>
        <c:axId val="35615763"/>
        <c:scaling>
          <c:orientation val="minMax"/>
          <c:max val="0.1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z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153090"/>
        <c:crossesAt val="-100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Upper surface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3375"/>
          <c:w val="0.7335"/>
          <c:h val="0.75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OptimalFrameView!$I$3</c:f>
              <c:strCache>
                <c:ptCount val="1"/>
                <c:pt idx="0">
                  <c:v>1.2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OptimalFrameView!$H$4:$H$13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OptimalFrameView!$I$4:$I$13</c:f>
              <c:numCache>
                <c:ptCount val="10"/>
                <c:pt idx="0">
                  <c:v>-0.046681298633273194</c:v>
                </c:pt>
                <c:pt idx="1">
                  <c:v>-0.013151314725795893</c:v>
                </c:pt>
                <c:pt idx="2">
                  <c:v>0.005378669181681395</c:v>
                </c:pt>
                <c:pt idx="3">
                  <c:v>0.011908755036912466</c:v>
                </c:pt>
                <c:pt idx="4">
                  <c:v>0.00743863699663605</c:v>
                </c:pt>
                <c:pt idx="5">
                  <c:v>0.001326158068941763</c:v>
                </c:pt>
                <c:pt idx="6">
                  <c:v>0.001061925311120926</c:v>
                </c:pt>
                <c:pt idx="7">
                  <c:v>0.0007976925532998669</c:v>
                </c:pt>
                <c:pt idx="8">
                  <c:v>-0.01377809798799634</c:v>
                </c:pt>
                <c:pt idx="9">
                  <c:v>-0.038353888529292335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OptimalFrameView!$J$3</c:f>
              <c:strCache>
                <c:ptCount val="1"/>
                <c:pt idx="0">
                  <c:v>16.6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OptimalFrameView!$H$4:$H$13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OptimalFrameView!$J$4:$J$13</c:f>
              <c:numCache>
                <c:ptCount val="10"/>
                <c:pt idx="0">
                  <c:v>-0.05711130322519198</c:v>
                </c:pt>
                <c:pt idx="1">
                  <c:v>-0.029581319317714794</c:v>
                </c:pt>
                <c:pt idx="2">
                  <c:v>-0.013051335410237397</c:v>
                </c:pt>
                <c:pt idx="3">
                  <c:v>-0.006521351502760231</c:v>
                </c:pt>
                <c:pt idx="4">
                  <c:v>-0.0019913675952828447</c:v>
                </c:pt>
                <c:pt idx="5">
                  <c:v>-0.014733846785204507</c:v>
                </c:pt>
                <c:pt idx="6">
                  <c:v>-0.01449807954302551</c:v>
                </c:pt>
                <c:pt idx="7">
                  <c:v>-0.014262312300846625</c:v>
                </c:pt>
                <c:pt idx="8">
                  <c:v>-0.023838102842142606</c:v>
                </c:pt>
                <c:pt idx="9">
                  <c:v>-0.045413893383438764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OptimalFrameView!$K$3</c:f>
              <c:strCache>
                <c:ptCount val="1"/>
                <c:pt idx="0">
                  <c:v>32.0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OptimalFrameView!$H$4:$H$13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OptimalFrameView!$K$4:$K$13</c:f>
              <c:numCache>
                <c:ptCount val="10"/>
                <c:pt idx="0">
                  <c:v>-0.04454130781711085</c:v>
                </c:pt>
                <c:pt idx="1">
                  <c:v>-0.016011323909633668</c:v>
                </c:pt>
                <c:pt idx="2">
                  <c:v>-0.0044813400021562755</c:v>
                </c:pt>
                <c:pt idx="3">
                  <c:v>-0.002951356094679003</c:v>
                </c:pt>
                <c:pt idx="4">
                  <c:v>-0.004421270239447939</c:v>
                </c:pt>
                <c:pt idx="5">
                  <c:v>-0.016793851639350987</c:v>
                </c:pt>
                <c:pt idx="6">
                  <c:v>-0.012558084397172098</c:v>
                </c:pt>
                <c:pt idx="7">
                  <c:v>-0.008322317154993208</c:v>
                </c:pt>
                <c:pt idx="8">
                  <c:v>-0.011898107696289184</c:v>
                </c:pt>
                <c:pt idx="9">
                  <c:v>-0.031473898237585174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OptimalFrameView!$L$3</c:f>
              <c:strCache>
                <c:ptCount val="1"/>
                <c:pt idx="0">
                  <c:v>47.4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OptimalFrameView!$H$4:$H$13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OptimalFrameView!$L$4:$L$13</c:f>
              <c:numCache>
                <c:ptCount val="10"/>
                <c:pt idx="0">
                  <c:v>-0.038971312409029735</c:v>
                </c:pt>
                <c:pt idx="1">
                  <c:v>-0.01144132850155255</c:v>
                </c:pt>
                <c:pt idx="2">
                  <c:v>-0.0029113445940751603</c:v>
                </c:pt>
                <c:pt idx="3">
                  <c:v>0.005618741261155913</c:v>
                </c:pt>
                <c:pt idx="4">
                  <c:v>0.0011486232208793856</c:v>
                </c:pt>
                <c:pt idx="5">
                  <c:v>-0.011853856493497461</c:v>
                </c:pt>
                <c:pt idx="6">
                  <c:v>-0.007117895647480332</c:v>
                </c:pt>
                <c:pt idx="7">
                  <c:v>-0.0023819348014630926</c:v>
                </c:pt>
                <c:pt idx="8">
                  <c:v>-0.004958112550435545</c:v>
                </c:pt>
                <c:pt idx="9">
                  <c:v>-0.02853390309173165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OptimalFrameView!$M$3</c:f>
              <c:strCache>
                <c:ptCount val="1"/>
                <c:pt idx="0">
                  <c:v>62.8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OptimalFrameView!$H$4:$H$13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OptimalFrameView!$M$4:$M$13</c:f>
              <c:numCache>
                <c:ptCount val="10"/>
                <c:pt idx="0">
                  <c:v>-0.03440131700094862</c:v>
                </c:pt>
                <c:pt idx="1">
                  <c:v>-0.00687133309347121</c:v>
                </c:pt>
                <c:pt idx="2">
                  <c:v>0.006658650814005962</c:v>
                </c:pt>
                <c:pt idx="3">
                  <c:v>0.012188634721483349</c:v>
                </c:pt>
                <c:pt idx="4">
                  <c:v>0.01271861862896062</c:v>
                </c:pt>
                <c:pt idx="5">
                  <c:v>0.002086138652356073</c:v>
                </c:pt>
                <c:pt idx="6">
                  <c:v>0.005321905894534962</c:v>
                </c:pt>
                <c:pt idx="7">
                  <c:v>0.008557673136714183</c:v>
                </c:pt>
                <c:pt idx="8">
                  <c:v>-0.0010181174045820196</c:v>
                </c:pt>
                <c:pt idx="9">
                  <c:v>-0.022593907945878122</c:v>
                </c:pt>
              </c:numCache>
            </c:numRef>
          </c:yVal>
          <c:smooth val="1"/>
        </c:ser>
        <c:axId val="52106412"/>
        <c:axId val="66304525"/>
      </c:scatterChart>
      <c:valAx>
        <c:axId val="52106412"/>
        <c:scaling>
          <c:orientation val="minMax"/>
          <c:max val="8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x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6304525"/>
        <c:crossesAt val="-100"/>
        <c:crossBetween val="midCat"/>
        <c:dispUnits/>
        <c:majorUnit val="20"/>
      </c:valAx>
      <c:valAx>
        <c:axId val="66304525"/>
        <c:scaling>
          <c:orientation val="minMax"/>
          <c:max val="0.05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z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106412"/>
        <c:crossesAt val="-100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Lower side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335"/>
          <c:w val="0.92325"/>
          <c:h val="0.78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MeasuredPointView!$B$4:$B$28</c:f>
              <c:numCache>
                <c:ptCount val="25"/>
                <c:pt idx="0">
                  <c:v>-62.4821065090849</c:v>
                </c:pt>
                <c:pt idx="1">
                  <c:v>-46.6197089139676</c:v>
                </c:pt>
                <c:pt idx="2">
                  <c:v>-30.7573885027137</c:v>
                </c:pt>
                <c:pt idx="3">
                  <c:v>-14.8951186256227</c:v>
                </c:pt>
                <c:pt idx="4">
                  <c:v>0.967211323612049</c:v>
                </c:pt>
                <c:pt idx="5">
                  <c:v>-63.1126784652347</c:v>
                </c:pt>
                <c:pt idx="6">
                  <c:v>-47.2504928405288</c:v>
                </c:pt>
                <c:pt idx="7">
                  <c:v>-31.3881805296297</c:v>
                </c:pt>
                <c:pt idx="8">
                  <c:v>-15.525813996146</c:v>
                </c:pt>
                <c:pt idx="9">
                  <c:v>0.336509456898696</c:v>
                </c:pt>
                <c:pt idx="10">
                  <c:v>-63.743688477455</c:v>
                </c:pt>
                <c:pt idx="11">
                  <c:v>-47.8812114926468</c:v>
                </c:pt>
                <c:pt idx="12">
                  <c:v>-32.0189034309564</c:v>
                </c:pt>
                <c:pt idx="13">
                  <c:v>-16.1567443802351</c:v>
                </c:pt>
                <c:pt idx="14">
                  <c:v>-0.294355501839662</c:v>
                </c:pt>
                <c:pt idx="15">
                  <c:v>-64.3744183512604</c:v>
                </c:pt>
                <c:pt idx="16">
                  <c:v>-48.5120484929924</c:v>
                </c:pt>
                <c:pt idx="17">
                  <c:v>-32.6497164196466</c:v>
                </c:pt>
                <c:pt idx="18">
                  <c:v>-16.7874599228068</c:v>
                </c:pt>
                <c:pt idx="19">
                  <c:v>-0.925132116353072</c:v>
                </c:pt>
                <c:pt idx="20">
                  <c:v>-65.0053886739974</c:v>
                </c:pt>
                <c:pt idx="21">
                  <c:v>-49.1429160519877</c:v>
                </c:pt>
                <c:pt idx="22">
                  <c:v>-33.2805681346087</c:v>
                </c:pt>
                <c:pt idx="23">
                  <c:v>-17.4181906618847</c:v>
                </c:pt>
                <c:pt idx="24">
                  <c:v>-1.55596173362266</c:v>
                </c:pt>
              </c:numCache>
            </c:numRef>
          </c:xVal>
          <c:yVal>
            <c:numRef>
              <c:f>MeasuredPointView!$C$4:$C$28</c:f>
              <c:numCache>
                <c:ptCount val="25"/>
                <c:pt idx="0">
                  <c:v>34.0759026182884</c:v>
                </c:pt>
                <c:pt idx="1">
                  <c:v>33.4410752396803</c:v>
                </c:pt>
                <c:pt idx="2">
                  <c:v>32.806344160846</c:v>
                </c:pt>
                <c:pt idx="3">
                  <c:v>32.1715114301821</c:v>
                </c:pt>
                <c:pt idx="4">
                  <c:v>31.5366733684116</c:v>
                </c:pt>
                <c:pt idx="5">
                  <c:v>18.312437242667</c:v>
                </c:pt>
                <c:pt idx="6">
                  <c:v>17.6777158153007</c:v>
                </c:pt>
                <c:pt idx="7">
                  <c:v>17.0428838338188</c:v>
                </c:pt>
                <c:pt idx="8">
                  <c:v>16.4082469288077</c:v>
                </c:pt>
                <c:pt idx="9">
                  <c:v>15.7733090449332</c:v>
                </c:pt>
                <c:pt idx="10">
                  <c:v>2.54906025173856</c:v>
                </c:pt>
                <c:pt idx="11">
                  <c:v>1.91432550768618</c:v>
                </c:pt>
                <c:pt idx="12">
                  <c:v>1.279489023357</c:v>
                </c:pt>
                <c:pt idx="13">
                  <c:v>0.644655130523984</c:v>
                </c:pt>
                <c:pt idx="14">
                  <c:v>0.00990710482669582</c:v>
                </c:pt>
                <c:pt idx="15">
                  <c:v>-13.2142113530553</c:v>
                </c:pt>
                <c:pt idx="16">
                  <c:v>-13.8491429575652</c:v>
                </c:pt>
                <c:pt idx="17">
                  <c:v>-14.483879209736</c:v>
                </c:pt>
                <c:pt idx="18">
                  <c:v>-15.1187175140621</c:v>
                </c:pt>
                <c:pt idx="19">
                  <c:v>-15.7534594692488</c:v>
                </c:pt>
                <c:pt idx="20">
                  <c:v>-28.9776807371105</c:v>
                </c:pt>
                <c:pt idx="21">
                  <c:v>-29.6125149437331</c:v>
                </c:pt>
                <c:pt idx="22">
                  <c:v>-30.2473500746985</c:v>
                </c:pt>
                <c:pt idx="23">
                  <c:v>-30.882090149167</c:v>
                </c:pt>
                <c:pt idx="24">
                  <c:v>-31.5169280634428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MeasuredPointView!$B$29:$B$53</c:f>
              <c:numCache>
                <c:ptCount val="25"/>
                <c:pt idx="0">
                  <c:v>1.55693702006369</c:v>
                </c:pt>
                <c:pt idx="1">
                  <c:v>17.4222167563096</c:v>
                </c:pt>
                <c:pt idx="2">
                  <c:v>33.2815599549184</c:v>
                </c:pt>
                <c:pt idx="3">
                  <c:v>49.1438232123196</c:v>
                </c:pt>
                <c:pt idx="4">
                  <c:v>65.0061022760095</c:v>
                </c:pt>
                <c:pt idx="5">
                  <c:v>0.926233850241828</c:v>
                </c:pt>
                <c:pt idx="6">
                  <c:v>16.7928474780757</c:v>
                </c:pt>
                <c:pt idx="7">
                  <c:v>32.6508432604881</c:v>
                </c:pt>
                <c:pt idx="8">
                  <c:v>48.5131381781614</c:v>
                </c:pt>
                <c:pt idx="9">
                  <c:v>64.3753264361386</c:v>
                </c:pt>
                <c:pt idx="10">
                  <c:v>0.295394021624952</c:v>
                </c:pt>
                <c:pt idx="11">
                  <c:v>16.1606801491172</c:v>
                </c:pt>
                <c:pt idx="12">
                  <c:v>32.0201023686353</c:v>
                </c:pt>
                <c:pt idx="13">
                  <c:v>47.8823057900413</c:v>
                </c:pt>
                <c:pt idx="14">
                  <c:v>63.7445954628594</c:v>
                </c:pt>
                <c:pt idx="15">
                  <c:v>-0.335319380191872</c:v>
                </c:pt>
                <c:pt idx="16">
                  <c:v>15.5312933070273</c:v>
                </c:pt>
                <c:pt idx="17">
                  <c:v>31.3892584973537</c:v>
                </c:pt>
                <c:pt idx="18">
                  <c:v>47.2515592691061</c:v>
                </c:pt>
                <c:pt idx="19">
                  <c:v>63.113738610875</c:v>
                </c:pt>
                <c:pt idx="20">
                  <c:v>-0.96624198382515</c:v>
                </c:pt>
                <c:pt idx="21">
                  <c:v>14.8989648533228</c:v>
                </c:pt>
                <c:pt idx="22">
                  <c:v>30.758363539677</c:v>
                </c:pt>
                <c:pt idx="23">
                  <c:v>46.6205554081408</c:v>
                </c:pt>
                <c:pt idx="24">
                  <c:v>62.4827336306183</c:v>
                </c:pt>
              </c:numCache>
            </c:numRef>
          </c:xVal>
          <c:yVal>
            <c:numRef>
              <c:f>MeasuredPointView!$C$29:$C$53</c:f>
              <c:numCache>
                <c:ptCount val="25"/>
                <c:pt idx="0">
                  <c:v>31.5129988269387</c:v>
                </c:pt>
                <c:pt idx="1">
                  <c:v>30.87841862573</c:v>
                </c:pt>
                <c:pt idx="2">
                  <c:v>30.2434289996399</c:v>
                </c:pt>
                <c:pt idx="3">
                  <c:v>29.6084898052698</c:v>
                </c:pt>
                <c:pt idx="4">
                  <c:v>28.9736430391145</c:v>
                </c:pt>
                <c:pt idx="5">
                  <c:v>15.7495347322022</c:v>
                </c:pt>
                <c:pt idx="6">
                  <c:v>15.1151831962125</c:v>
                </c:pt>
                <c:pt idx="7">
                  <c:v>14.4798662223849</c:v>
                </c:pt>
                <c:pt idx="8">
                  <c:v>13.8451281059001</c:v>
                </c:pt>
                <c:pt idx="9">
                  <c:v>13.2103851206974</c:v>
                </c:pt>
                <c:pt idx="10">
                  <c:v>-0.0138651557643137</c:v>
                </c:pt>
                <c:pt idx="11">
                  <c:v>-0.648446703440936</c:v>
                </c:pt>
                <c:pt idx="12">
                  <c:v>-1.28344239330509</c:v>
                </c:pt>
                <c:pt idx="13">
                  <c:v>-1.91828076281754</c:v>
                </c:pt>
                <c:pt idx="14">
                  <c:v>-2.5531300850326</c:v>
                </c:pt>
                <c:pt idx="15">
                  <c:v>-15.7773378951062</c:v>
                </c:pt>
                <c:pt idx="16">
                  <c:v>-16.4116923984018</c:v>
                </c:pt>
                <c:pt idx="17">
                  <c:v>-17.0468146755707</c:v>
                </c:pt>
                <c:pt idx="18">
                  <c:v>-17.6815588609831</c:v>
                </c:pt>
                <c:pt idx="19">
                  <c:v>-18.3164067489614</c:v>
                </c:pt>
                <c:pt idx="20">
                  <c:v>-31.5406032895235</c:v>
                </c:pt>
                <c:pt idx="21">
                  <c:v>-32.1752907578316</c:v>
                </c:pt>
                <c:pt idx="22">
                  <c:v>-32.8102869198706</c:v>
                </c:pt>
                <c:pt idx="23">
                  <c:v>-33.4451293411221</c:v>
                </c:pt>
                <c:pt idx="24">
                  <c:v>-34.0798776628126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MeasuredPointView!$B$57:$B$70</c:f>
              <c:numCache>
                <c:ptCount val="14"/>
                <c:pt idx="0">
                  <c:v>-10.3176505174768</c:v>
                </c:pt>
                <c:pt idx="1">
                  <c:v>-10.1977604523891</c:v>
                </c:pt>
                <c:pt idx="2">
                  <c:v>-5.54780839137443</c:v>
                </c:pt>
                <c:pt idx="3">
                  <c:v>-1.04972517889173</c:v>
                </c:pt>
                <c:pt idx="4">
                  <c:v>-1.19959974103967</c:v>
                </c:pt>
                <c:pt idx="5">
                  <c:v>-1.31967912494922</c:v>
                </c:pt>
                <c:pt idx="6">
                  <c:v>34.1832486815731</c:v>
                </c:pt>
                <c:pt idx="7">
                  <c:v>34.7931960905545</c:v>
                </c:pt>
                <c:pt idx="8">
                  <c:v>34.9431710047981</c:v>
                </c:pt>
                <c:pt idx="9">
                  <c:v>36.4418118024064</c:v>
                </c:pt>
                <c:pt idx="10">
                  <c:v>43.7914050910858</c:v>
                </c:pt>
                <c:pt idx="11">
                  <c:v>44.1812379764627</c:v>
                </c:pt>
                <c:pt idx="12">
                  <c:v>15.2970664499357</c:v>
                </c:pt>
                <c:pt idx="13">
                  <c:v>15.4469376497153</c:v>
                </c:pt>
              </c:numCache>
            </c:numRef>
          </c:xVal>
          <c:yVal>
            <c:numRef>
              <c:f>MeasuredPointView!$C$57:$C$70</c:f>
              <c:numCache>
                <c:ptCount val="14"/>
                <c:pt idx="0">
                  <c:v>34.2132134286917</c:v>
                </c:pt>
                <c:pt idx="1">
                  <c:v>40.2118681248741</c:v>
                </c:pt>
                <c:pt idx="2">
                  <c:v>47.7204225489929</c:v>
                </c:pt>
                <c:pt idx="3">
                  <c:v>47.530403892811</c:v>
                </c:pt>
                <c:pt idx="4">
                  <c:v>40.0319628969343</c:v>
                </c:pt>
                <c:pt idx="5">
                  <c:v>34.0332159937244</c:v>
                </c:pt>
                <c:pt idx="6">
                  <c:v>33.8230728181968</c:v>
                </c:pt>
                <c:pt idx="7">
                  <c:v>39.3119591166156</c:v>
                </c:pt>
                <c:pt idx="8">
                  <c:v>46.8105126693248</c:v>
                </c:pt>
                <c:pt idx="9">
                  <c:v>46.6804880980398</c:v>
                </c:pt>
                <c:pt idx="10">
                  <c:v>39.1320548350516</c:v>
                </c:pt>
                <c:pt idx="11">
                  <c:v>33.6230001951487</c:v>
                </c:pt>
                <c:pt idx="12">
                  <c:v>39.7019616938967</c:v>
                </c:pt>
                <c:pt idx="13">
                  <c:v>47.2004030458442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MeasuredPointView!$B$71:$B$76</c:f>
              <c:numCache>
                <c:ptCount val="6"/>
                <c:pt idx="0">
                  <c:v>7.92550686361975</c:v>
                </c:pt>
                <c:pt idx="1">
                  <c:v>26.2537901769112</c:v>
                </c:pt>
                <c:pt idx="2">
                  <c:v>8.63204448457499</c:v>
                </c:pt>
                <c:pt idx="3">
                  <c:v>24.7702221208639</c:v>
                </c:pt>
                <c:pt idx="4">
                  <c:v>5.19604378580436</c:v>
                </c:pt>
                <c:pt idx="5">
                  <c:v>23.4903078556142</c:v>
                </c:pt>
              </c:numCache>
            </c:numRef>
          </c:xVal>
          <c:yVal>
            <c:numRef>
              <c:f>MeasuredPointView!$C$71:$C$76</c:f>
              <c:numCache>
                <c:ptCount val="6"/>
                <c:pt idx="0">
                  <c:v>32.1500538837986</c:v>
                </c:pt>
                <c:pt idx="1">
                  <c:v>33.6019413909727</c:v>
                </c:pt>
                <c:pt idx="2">
                  <c:v>-0.294967827994007</c:v>
                </c:pt>
                <c:pt idx="3">
                  <c:v>-0.976372552235165</c:v>
                </c:pt>
                <c:pt idx="4">
                  <c:v>-32.6283278849203</c:v>
                </c:pt>
                <c:pt idx="5">
                  <c:v>-32.8841988970447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MeasuredPointView!$B$54:$B$56</c:f>
              <c:numCache>
                <c:ptCount val="3"/>
                <c:pt idx="0">
                  <c:v>-0.719789006150267</c:v>
                </c:pt>
                <c:pt idx="1">
                  <c:v>-0.905882507318763</c:v>
                </c:pt>
                <c:pt idx="2">
                  <c:v>-0.506090220429879</c:v>
                </c:pt>
              </c:numCache>
            </c:numRef>
          </c:xVal>
          <c:yVal>
            <c:numRef>
              <c:f>MeasuredPointView!$C$54:$C$56</c:f>
              <c:numCache>
                <c:ptCount val="3"/>
                <c:pt idx="0">
                  <c:v>-35.7429016350056</c:v>
                </c:pt>
                <c:pt idx="1">
                  <c:v>-35.3849255564708</c:v>
                </c:pt>
                <c:pt idx="2">
                  <c:v>-35.4007914035701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MeasuredPointView!$B$77:$B$79</c:f>
              <c:numCache>
                <c:ptCount val="3"/>
                <c:pt idx="0">
                  <c:v>6.13695670140037</c:v>
                </c:pt>
                <c:pt idx="1">
                  <c:v>7.98811265367451</c:v>
                </c:pt>
                <c:pt idx="2">
                  <c:v>18.4681183587422</c:v>
                </c:pt>
              </c:numCache>
            </c:numRef>
          </c:xVal>
          <c:yVal>
            <c:numRef>
              <c:f>MeasuredPointView!$C$77:$C$79</c:f>
              <c:numCache>
                <c:ptCount val="3"/>
                <c:pt idx="0">
                  <c:v>-36.3678180961291</c:v>
                </c:pt>
                <c:pt idx="1">
                  <c:v>-33.7313943516051</c:v>
                </c:pt>
                <c:pt idx="2">
                  <c:v>-34.0256545627202</c:v>
                </c:pt>
              </c:numCache>
            </c:numRef>
          </c:yVal>
          <c:smooth val="0"/>
        </c:ser>
        <c:axId val="696930"/>
        <c:axId val="6272371"/>
      </c:scatterChart>
      <c:valAx>
        <c:axId val="69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Helv"/>
                    <a:ea typeface="Helv"/>
                    <a:cs typeface="Helv"/>
                  </a:rPr>
                  <a:t>x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72371"/>
        <c:crosses val="autoZero"/>
        <c:crossBetween val="midCat"/>
        <c:dispUnits/>
      </c:valAx>
      <c:valAx>
        <c:axId val="6272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Helv"/>
                    <a:ea typeface="Helv"/>
                    <a:cs typeface="Helv"/>
                  </a:rPr>
                  <a:t>y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969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Helv"/>
                <a:ea typeface="Helv"/>
                <a:cs typeface="Helv"/>
              </a:rPr>
              <a:t>Upper surface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3375"/>
          <c:w val="0.73375"/>
          <c:h val="0.75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OptimalFrameView!$H$4</c:f>
              <c:strCache>
                <c:ptCount val="1"/>
                <c:pt idx="0">
                  <c:v>-61.0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OptimalFrameView!$I$3:$M$3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OptimalFrameView!$I$4:$M$4</c:f>
              <c:numCache>
                <c:ptCount val="5"/>
                <c:pt idx="0">
                  <c:v>-0.046681298633273194</c:v>
                </c:pt>
                <c:pt idx="1">
                  <c:v>-0.05711130322519198</c:v>
                </c:pt>
                <c:pt idx="2">
                  <c:v>-0.04454130781711085</c:v>
                </c:pt>
                <c:pt idx="3">
                  <c:v>-0.038971312409029735</c:v>
                </c:pt>
                <c:pt idx="4">
                  <c:v>-0.03440131700094862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OptimalFrameView!$H$5</c:f>
              <c:strCache>
                <c:ptCount val="1"/>
                <c:pt idx="0">
                  <c:v>-46.6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OptimalFrameView!$I$3:$M$3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OptimalFrameView!$I$5:$M$5</c:f>
              <c:numCache>
                <c:ptCount val="5"/>
                <c:pt idx="0">
                  <c:v>-0.013151314725795893</c:v>
                </c:pt>
                <c:pt idx="1">
                  <c:v>-0.029581319317714794</c:v>
                </c:pt>
                <c:pt idx="2">
                  <c:v>-0.016011323909633668</c:v>
                </c:pt>
                <c:pt idx="3">
                  <c:v>-0.01144132850155255</c:v>
                </c:pt>
                <c:pt idx="4">
                  <c:v>-0.00687133309347121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OptimalFrameView!$H$6</c:f>
              <c:strCache>
                <c:ptCount val="1"/>
                <c:pt idx="0">
                  <c:v>-32.2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OptimalFrameView!$I$3:$M$3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OptimalFrameView!$I$6:$M$6</c:f>
              <c:numCache>
                <c:ptCount val="5"/>
                <c:pt idx="0">
                  <c:v>0.005378669181681395</c:v>
                </c:pt>
                <c:pt idx="1">
                  <c:v>-0.013051335410237397</c:v>
                </c:pt>
                <c:pt idx="2">
                  <c:v>-0.0044813400021562755</c:v>
                </c:pt>
                <c:pt idx="3">
                  <c:v>-0.0029113445940751603</c:v>
                </c:pt>
                <c:pt idx="4">
                  <c:v>0.006658650814005962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OptimalFrameView!$H$7</c:f>
              <c:strCache>
                <c:ptCount val="1"/>
                <c:pt idx="0">
                  <c:v>-17.8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OptimalFrameView!$I$3:$M$3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OptimalFrameView!$I$7:$M$7</c:f>
              <c:numCache>
                <c:ptCount val="5"/>
                <c:pt idx="0">
                  <c:v>0.011908755036912466</c:v>
                </c:pt>
                <c:pt idx="1">
                  <c:v>-0.006521351502760231</c:v>
                </c:pt>
                <c:pt idx="2">
                  <c:v>-0.002951356094679003</c:v>
                </c:pt>
                <c:pt idx="3">
                  <c:v>0.005618741261155913</c:v>
                </c:pt>
                <c:pt idx="4">
                  <c:v>0.012188634721483349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OptimalFrameView!$H$8</c:f>
              <c:strCache>
                <c:ptCount val="1"/>
                <c:pt idx="0">
                  <c:v>-3.4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OptimalFrameView!$I$3:$M$3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OptimalFrameView!$I$8:$M$8</c:f>
              <c:numCache>
                <c:ptCount val="5"/>
                <c:pt idx="0">
                  <c:v>0.00743863699663605</c:v>
                </c:pt>
                <c:pt idx="1">
                  <c:v>-0.0019913675952828447</c:v>
                </c:pt>
                <c:pt idx="2">
                  <c:v>-0.004421270239447939</c:v>
                </c:pt>
                <c:pt idx="3">
                  <c:v>0.0011486232208793856</c:v>
                </c:pt>
                <c:pt idx="4">
                  <c:v>0.01271861862896062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OptimalFrameView!$H$9</c:f>
              <c:strCache>
                <c:ptCount val="1"/>
                <c:pt idx="0">
                  <c:v>2.1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OptimalFrameView!$I$3:$M$3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OptimalFrameView!$I$9:$M$9</c:f>
              <c:numCache>
                <c:ptCount val="5"/>
                <c:pt idx="0">
                  <c:v>0.001326158068941763</c:v>
                </c:pt>
                <c:pt idx="1">
                  <c:v>-0.014733846785204507</c:v>
                </c:pt>
                <c:pt idx="2">
                  <c:v>-0.016793851639350987</c:v>
                </c:pt>
                <c:pt idx="3">
                  <c:v>-0.011853856493497461</c:v>
                </c:pt>
                <c:pt idx="4">
                  <c:v>0.002086138652356073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OptimalFrameView!$H$10</c:f>
              <c:strCache>
                <c:ptCount val="1"/>
                <c:pt idx="0">
                  <c:v>17.0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OptimalFrameView!$I$3:$M$3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OptimalFrameView!$I$10:$M$10</c:f>
              <c:numCache>
                <c:ptCount val="5"/>
                <c:pt idx="0">
                  <c:v>0.001061925311120926</c:v>
                </c:pt>
                <c:pt idx="1">
                  <c:v>-0.01449807954302551</c:v>
                </c:pt>
                <c:pt idx="2">
                  <c:v>-0.012558084397172098</c:v>
                </c:pt>
                <c:pt idx="3">
                  <c:v>-0.007117895647480332</c:v>
                </c:pt>
                <c:pt idx="4">
                  <c:v>0.005321905894534962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OptimalFrameView!$H$11</c:f>
              <c:strCache>
                <c:ptCount val="1"/>
                <c:pt idx="0">
                  <c:v>31.9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OptimalFrameView!$I$3:$M$3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OptimalFrameView!$I$11:$M$11</c:f>
              <c:numCache>
                <c:ptCount val="5"/>
                <c:pt idx="0">
                  <c:v>0.0007976925532998669</c:v>
                </c:pt>
                <c:pt idx="1">
                  <c:v>-0.014262312300846625</c:v>
                </c:pt>
                <c:pt idx="2">
                  <c:v>-0.008322317154993208</c:v>
                </c:pt>
                <c:pt idx="3">
                  <c:v>-0.0023819348014630926</c:v>
                </c:pt>
                <c:pt idx="4">
                  <c:v>0.008557673136714183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OptimalFrameView!$H$12</c:f>
              <c:strCache>
                <c:ptCount val="1"/>
                <c:pt idx="0">
                  <c:v>46.3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OptimalFrameView!$I$3:$M$3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OptimalFrameView!$I$12:$M$12</c:f>
              <c:numCache>
                <c:ptCount val="5"/>
                <c:pt idx="0">
                  <c:v>-0.01377809798799634</c:v>
                </c:pt>
                <c:pt idx="1">
                  <c:v>-0.023838102842142606</c:v>
                </c:pt>
                <c:pt idx="2">
                  <c:v>-0.011898107696289184</c:v>
                </c:pt>
                <c:pt idx="3">
                  <c:v>-0.004958112550435545</c:v>
                </c:pt>
                <c:pt idx="4">
                  <c:v>-0.0010181174045820196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OptimalFrameView!$H$13</c:f>
              <c:strCache>
                <c:ptCount val="1"/>
                <c:pt idx="0">
                  <c:v>60.7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OptimalFrameView!$I$3:$M$3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OptimalFrameView!$I$13:$M$13</c:f>
              <c:numCache>
                <c:ptCount val="5"/>
                <c:pt idx="0">
                  <c:v>-0.038353888529292335</c:v>
                </c:pt>
                <c:pt idx="1">
                  <c:v>-0.045413893383438764</c:v>
                </c:pt>
                <c:pt idx="2">
                  <c:v>-0.031473898237585174</c:v>
                </c:pt>
                <c:pt idx="3">
                  <c:v>-0.02853390309173165</c:v>
                </c:pt>
                <c:pt idx="4">
                  <c:v>-0.022593907945878122</c:v>
                </c:pt>
              </c:numCache>
            </c:numRef>
          </c:yVal>
          <c:smooth val="1"/>
        </c:ser>
        <c:axId val="59869814"/>
        <c:axId val="1957415"/>
      </c:scatterChart>
      <c:valAx>
        <c:axId val="59869814"/>
        <c:scaling>
          <c:orientation val="minMax"/>
          <c:max val="8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y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57415"/>
        <c:crossesAt val="-100"/>
        <c:crossBetween val="midCat"/>
        <c:dispUnits/>
        <c:majorUnit val="20"/>
      </c:valAx>
      <c:valAx>
        <c:axId val="1957415"/>
        <c:scaling>
          <c:orientation val="minMax"/>
          <c:max val="0.05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z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869814"/>
        <c:crossesAt val="-100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Helv"/>
                <a:ea typeface="Helv"/>
                <a:cs typeface="Helv"/>
              </a:rPr>
              <a:t>Lower surface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3375"/>
          <c:w val="0.7345"/>
          <c:h val="0.75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CommonProfileView!$B$3</c:f>
              <c:strCache>
                <c:ptCount val="1"/>
                <c:pt idx="0">
                  <c:v>-17.7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CommonProfileView!$A$4:$A$13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CommonProfileView!$B$4:$B$13</c:f>
              <c:numCache>
                <c:ptCount val="10"/>
                <c:pt idx="0">
                  <c:v>0.05379699340717135</c:v>
                </c:pt>
                <c:pt idx="1">
                  <c:v>0.021655170126490875</c:v>
                </c:pt>
                <c:pt idx="2">
                  <c:v>0.002913103813563156</c:v>
                </c:pt>
                <c:pt idx="3">
                  <c:v>-0.0040288223844545</c:v>
                </c:pt>
                <c:pt idx="4">
                  <c:v>0.0024291441379148404</c:v>
                </c:pt>
                <c:pt idx="5">
                  <c:v>0.016079008561054643</c:v>
                </c:pt>
                <c:pt idx="6">
                  <c:v>0.007978779190860897</c:v>
                </c:pt>
                <c:pt idx="7">
                  <c:v>-0.0001214501793328493</c:v>
                </c:pt>
                <c:pt idx="8">
                  <c:v>0.01535883129967075</c:v>
                </c:pt>
                <c:pt idx="9">
                  <c:v>0.05263883786882301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CommonProfileView!$C$3</c:f>
              <c:strCache>
                <c:ptCount val="1"/>
                <c:pt idx="0">
                  <c:v>-2.3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CommonProfileView!$A$4:$A$13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CommonProfileView!$C$4:$C$13</c:f>
              <c:numCache>
                <c:ptCount val="10"/>
                <c:pt idx="0">
                  <c:v>0.05148908545480578</c:v>
                </c:pt>
                <c:pt idx="1">
                  <c:v>0.02014704715046407</c:v>
                </c:pt>
                <c:pt idx="2">
                  <c:v>0.008605026948497185</c:v>
                </c:pt>
                <c:pt idx="3">
                  <c:v>-0.002136945360481257</c:v>
                </c:pt>
                <c:pt idx="4">
                  <c:v>-7.882980981397392E-05</c:v>
                </c:pt>
                <c:pt idx="5">
                  <c:v>0.004473005064316205</c:v>
                </c:pt>
                <c:pt idx="6">
                  <c:v>0.0014729229314975</c:v>
                </c:pt>
                <c:pt idx="7">
                  <c:v>-0.00152715920132116</c:v>
                </c:pt>
                <c:pt idx="8">
                  <c:v>0.006753060127538202</c:v>
                </c:pt>
                <c:pt idx="9">
                  <c:v>0.03323273493709392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CommonProfileView!$D$3</c:f>
              <c:strCache>
                <c:ptCount val="1"/>
                <c:pt idx="0">
                  <c:v>13.1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CommonProfileView!$A$4:$A$13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CommonProfileView!$D$4:$D$13</c:f>
              <c:numCache>
                <c:ptCount val="10"/>
                <c:pt idx="0">
                  <c:v>0.04438108362488559</c:v>
                </c:pt>
                <c:pt idx="1">
                  <c:v>0.016239176120072484</c:v>
                </c:pt>
                <c:pt idx="2">
                  <c:v>0.003497016218460325</c:v>
                </c:pt>
                <c:pt idx="3">
                  <c:v>-0.004844839446353277</c:v>
                </c:pt>
                <c:pt idx="4">
                  <c:v>-0.000986981119196062</c:v>
                </c:pt>
                <c:pt idx="5">
                  <c:v>0.0022670015675777975</c:v>
                </c:pt>
                <c:pt idx="6">
                  <c:v>-0.0007331322211729496</c:v>
                </c:pt>
                <c:pt idx="7">
                  <c:v>-0.0037332660099236303</c:v>
                </c:pt>
                <c:pt idx="8">
                  <c:v>0.0025468243061938624</c:v>
                </c:pt>
                <c:pt idx="9">
                  <c:v>0.026626731440355454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CommonProfileView!$E$3</c:f>
              <c:strCache>
                <c:ptCount val="1"/>
                <c:pt idx="0">
                  <c:v>28.5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CommonProfileView!$A$4:$A$13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CommonProfileView!$E$4:$E$13</c:f>
              <c:numCache>
                <c:ptCount val="10"/>
                <c:pt idx="0">
                  <c:v>0.044673005084707174</c:v>
                </c:pt>
                <c:pt idx="1">
                  <c:v>0.01653118439473813</c:v>
                </c:pt>
                <c:pt idx="2">
                  <c:v>0.0035890175268674662</c:v>
                </c:pt>
                <c:pt idx="3">
                  <c:v>-0.005152841727437329</c:v>
                </c:pt>
                <c:pt idx="4">
                  <c:v>-0.002694875205068037</c:v>
                </c:pt>
                <c:pt idx="5">
                  <c:v>0.008260998070839354</c:v>
                </c:pt>
                <c:pt idx="6">
                  <c:v>0.002560941035240805</c:v>
                </c:pt>
                <c:pt idx="7">
                  <c:v>-0.0031391160003576557</c:v>
                </c:pt>
                <c:pt idx="8">
                  <c:v>0.0033406798410097636</c:v>
                </c:pt>
                <c:pt idx="9">
                  <c:v>0.030220786243129717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CommonProfileView!$F$3</c:f>
              <c:strCache>
                <c:ptCount val="1"/>
                <c:pt idx="0">
                  <c:v>43.9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CommonProfileView!$A$4:$A$13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CommonProfileView!$F$4:$F$13</c:f>
              <c:numCache>
                <c:ptCount val="10"/>
                <c:pt idx="0">
                  <c:v>0.03336504305634251</c:v>
                </c:pt>
                <c:pt idx="1">
                  <c:v>0.002223159058173696</c:v>
                </c:pt>
                <c:pt idx="2">
                  <c:v>-0.013718823030621375</c:v>
                </c:pt>
                <c:pt idx="3">
                  <c:v>-0.018060810397291304</c:v>
                </c:pt>
                <c:pt idx="4">
                  <c:v>-0.010802849152796879</c:v>
                </c:pt>
                <c:pt idx="5">
                  <c:v>0.006254994574100903</c:v>
                </c:pt>
                <c:pt idx="6">
                  <c:v>-0.005945062461497552</c:v>
                </c:pt>
                <c:pt idx="7">
                  <c:v>-0.01814511949709612</c:v>
                </c:pt>
                <c:pt idx="8">
                  <c:v>-0.009265212362934516</c:v>
                </c:pt>
                <c:pt idx="9">
                  <c:v>0.01961475412253022</c:v>
                </c:pt>
              </c:numCache>
            </c:numRef>
          </c:yVal>
          <c:smooth val="1"/>
        </c:ser>
        <c:axId val="17616736"/>
        <c:axId val="24332897"/>
      </c:scatterChart>
      <c:valAx>
        <c:axId val="17616736"/>
        <c:scaling>
          <c:orientation val="minMax"/>
          <c:max val="8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x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332897"/>
        <c:crossesAt val="-100"/>
        <c:crossBetween val="midCat"/>
        <c:dispUnits/>
        <c:majorUnit val="20"/>
      </c:valAx>
      <c:valAx>
        <c:axId val="24332897"/>
        <c:scaling>
          <c:orientation val="minMax"/>
          <c:max val="0.1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z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616736"/>
        <c:crossesAt val="-100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Helv"/>
                <a:ea typeface="Helv"/>
                <a:cs typeface="Helv"/>
              </a:rPr>
              <a:t>Lower surface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3375"/>
          <c:w val="0.7345"/>
          <c:h val="0.75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CommonProfileView!$A$4</c:f>
              <c:strCache>
                <c:ptCount val="1"/>
                <c:pt idx="0">
                  <c:v>-61.0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CommonProfileView!$B$3:$F$3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CommonProfileView!$B$4:$F$4</c:f>
              <c:numCache>
                <c:ptCount val="5"/>
                <c:pt idx="0">
                  <c:v>0.05379699340717135</c:v>
                </c:pt>
                <c:pt idx="1">
                  <c:v>0.05148908545480578</c:v>
                </c:pt>
                <c:pt idx="2">
                  <c:v>0.04438108362488559</c:v>
                </c:pt>
                <c:pt idx="3">
                  <c:v>0.044673005084707174</c:v>
                </c:pt>
                <c:pt idx="4">
                  <c:v>0.03336504305634251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CommonProfileView!$A$5</c:f>
              <c:strCache>
                <c:ptCount val="1"/>
                <c:pt idx="0">
                  <c:v>-46.6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CommonProfileView!$B$3:$F$3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CommonProfileView!$B$5:$F$5</c:f>
              <c:numCache>
                <c:ptCount val="5"/>
                <c:pt idx="0">
                  <c:v>0.021655170126490875</c:v>
                </c:pt>
                <c:pt idx="1">
                  <c:v>0.02014704715046407</c:v>
                </c:pt>
                <c:pt idx="2">
                  <c:v>0.016239176120072484</c:v>
                </c:pt>
                <c:pt idx="3">
                  <c:v>0.01653118439473813</c:v>
                </c:pt>
                <c:pt idx="4">
                  <c:v>0.002223159058173696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CommonProfileView!$A$6</c:f>
              <c:strCache>
                <c:ptCount val="1"/>
                <c:pt idx="0">
                  <c:v>-32.2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CommonProfileView!$B$3:$F$3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CommonProfileView!$B$6:$F$6</c:f>
              <c:numCache>
                <c:ptCount val="5"/>
                <c:pt idx="0">
                  <c:v>0.002913103813563156</c:v>
                </c:pt>
                <c:pt idx="1">
                  <c:v>0.008605026948497185</c:v>
                </c:pt>
                <c:pt idx="2">
                  <c:v>0.003497016218460325</c:v>
                </c:pt>
                <c:pt idx="3">
                  <c:v>0.0035890175268674662</c:v>
                </c:pt>
                <c:pt idx="4">
                  <c:v>-0.013718823030621375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CommonProfileView!$A$7</c:f>
              <c:strCache>
                <c:ptCount val="1"/>
                <c:pt idx="0">
                  <c:v>-17.8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CommonProfileView!$B$3:$F$3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CommonProfileView!$B$7:$F$7</c:f>
              <c:numCache>
                <c:ptCount val="5"/>
                <c:pt idx="0">
                  <c:v>-0.0040288223844545</c:v>
                </c:pt>
                <c:pt idx="1">
                  <c:v>-0.002136945360481257</c:v>
                </c:pt>
                <c:pt idx="2">
                  <c:v>-0.004844839446353277</c:v>
                </c:pt>
                <c:pt idx="3">
                  <c:v>-0.005152841727437329</c:v>
                </c:pt>
                <c:pt idx="4">
                  <c:v>-0.018060810397291304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CommonProfileView!$A$8</c:f>
              <c:strCache>
                <c:ptCount val="1"/>
                <c:pt idx="0">
                  <c:v>-3.4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CommonProfileView!$B$3:$F$3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CommonProfileView!$B$8:$F$8</c:f>
              <c:numCache>
                <c:ptCount val="5"/>
                <c:pt idx="0">
                  <c:v>0.0024291441379148404</c:v>
                </c:pt>
                <c:pt idx="1">
                  <c:v>-7.882980981397392E-05</c:v>
                </c:pt>
                <c:pt idx="2">
                  <c:v>-0.000986981119196062</c:v>
                </c:pt>
                <c:pt idx="3">
                  <c:v>-0.002694875205068037</c:v>
                </c:pt>
                <c:pt idx="4">
                  <c:v>-0.010802849152796879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CommonProfileView!$A$9</c:f>
              <c:strCache>
                <c:ptCount val="1"/>
                <c:pt idx="0">
                  <c:v>2.1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CommonProfileView!$B$3:$F$3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CommonProfileView!$B$9:$F$9</c:f>
              <c:numCache>
                <c:ptCount val="5"/>
                <c:pt idx="0">
                  <c:v>0.016079008561054643</c:v>
                </c:pt>
                <c:pt idx="1">
                  <c:v>0.004473005064316205</c:v>
                </c:pt>
                <c:pt idx="2">
                  <c:v>0.0022670015675777975</c:v>
                </c:pt>
                <c:pt idx="3">
                  <c:v>0.008260998070839354</c:v>
                </c:pt>
                <c:pt idx="4">
                  <c:v>0.006254994574100903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CommonProfileView!$A$10</c:f>
              <c:strCache>
                <c:ptCount val="1"/>
                <c:pt idx="0">
                  <c:v>17.0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CommonProfileView!$B$3:$F$3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CommonProfileView!$B$10:$F$10</c:f>
              <c:numCache>
                <c:ptCount val="5"/>
                <c:pt idx="0">
                  <c:v>0.007978779190860897</c:v>
                </c:pt>
                <c:pt idx="1">
                  <c:v>0.0014729229314975</c:v>
                </c:pt>
                <c:pt idx="2">
                  <c:v>-0.0007331322211729496</c:v>
                </c:pt>
                <c:pt idx="3">
                  <c:v>0.002560941035240805</c:v>
                </c:pt>
                <c:pt idx="4">
                  <c:v>-0.005945062461497552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CommonProfileView!$A$11</c:f>
              <c:strCache>
                <c:ptCount val="1"/>
                <c:pt idx="0">
                  <c:v>31.9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CommonProfileView!$B$3:$F$3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CommonProfileView!$B$11:$F$11</c:f>
              <c:numCache>
                <c:ptCount val="5"/>
                <c:pt idx="0">
                  <c:v>-0.0001214501793328493</c:v>
                </c:pt>
                <c:pt idx="1">
                  <c:v>-0.00152715920132116</c:v>
                </c:pt>
                <c:pt idx="2">
                  <c:v>-0.0037332660099236303</c:v>
                </c:pt>
                <c:pt idx="3">
                  <c:v>-0.0031391160003576557</c:v>
                </c:pt>
                <c:pt idx="4">
                  <c:v>-0.01814511949709612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CommonProfileView!$A$12</c:f>
              <c:strCache>
                <c:ptCount val="1"/>
                <c:pt idx="0">
                  <c:v>46.3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CommonProfileView!$B$3:$F$3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CommonProfileView!$B$12:$F$12</c:f>
              <c:numCache>
                <c:ptCount val="5"/>
                <c:pt idx="0">
                  <c:v>0.01535883129967075</c:v>
                </c:pt>
                <c:pt idx="1">
                  <c:v>0.006753060127538202</c:v>
                </c:pt>
                <c:pt idx="2">
                  <c:v>0.0025468243061938624</c:v>
                </c:pt>
                <c:pt idx="3">
                  <c:v>0.0033406798410097636</c:v>
                </c:pt>
                <c:pt idx="4">
                  <c:v>-0.009265212362934516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CommonProfileView!$A$13</c:f>
              <c:strCache>
                <c:ptCount val="1"/>
                <c:pt idx="0">
                  <c:v>60.7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CommonProfileView!$B$3:$F$3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CommonProfileView!$B$13:$F$13</c:f>
              <c:numCache>
                <c:ptCount val="5"/>
                <c:pt idx="0">
                  <c:v>0.05263883786882301</c:v>
                </c:pt>
                <c:pt idx="1">
                  <c:v>0.03323273493709392</c:v>
                </c:pt>
                <c:pt idx="2">
                  <c:v>0.026626731440355454</c:v>
                </c:pt>
                <c:pt idx="3">
                  <c:v>0.030220786243129717</c:v>
                </c:pt>
                <c:pt idx="4">
                  <c:v>0.01961475412253022</c:v>
                </c:pt>
              </c:numCache>
            </c:numRef>
          </c:yVal>
          <c:smooth val="1"/>
        </c:ser>
        <c:axId val="17669482"/>
        <c:axId val="24807611"/>
      </c:scatterChart>
      <c:valAx>
        <c:axId val="17669482"/>
        <c:scaling>
          <c:orientation val="minMax"/>
          <c:max val="8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y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807611"/>
        <c:crossesAt val="-100"/>
        <c:crossBetween val="midCat"/>
        <c:dispUnits/>
        <c:majorUnit val="20"/>
      </c:valAx>
      <c:valAx>
        <c:axId val="24807611"/>
        <c:scaling>
          <c:orientation val="minMax"/>
          <c:max val="0.1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z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669482"/>
        <c:crossesAt val="-100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Helv"/>
                <a:ea typeface="Helv"/>
                <a:cs typeface="Helv"/>
              </a:rPr>
              <a:t>Upper surface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3375"/>
          <c:w val="0.7345"/>
          <c:h val="0.75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CommonProfileView!$I$3</c:f>
              <c:strCache>
                <c:ptCount val="1"/>
                <c:pt idx="0">
                  <c:v>-17.7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CommonProfileView!$H$4:$H$13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CommonProfileView!$I$4:$I$13</c:f>
              <c:numCache>
                <c:ptCount val="10"/>
                <c:pt idx="0">
                  <c:v>-0.05082906528361578</c:v>
                </c:pt>
                <c:pt idx="1">
                  <c:v>-0.01797109921241038</c:v>
                </c:pt>
                <c:pt idx="2">
                  <c:v>-0.0005131096345607044</c:v>
                </c:pt>
                <c:pt idx="3">
                  <c:v>0.006944941111941283</c:v>
                </c:pt>
                <c:pt idx="4">
                  <c:v>0.005202869521138753</c:v>
                </c:pt>
                <c:pt idx="5">
                  <c:v>-0.0010969330388295394</c:v>
                </c:pt>
                <c:pt idx="6">
                  <c:v>-0.0005953427889863639</c:v>
                </c:pt>
                <c:pt idx="7">
                  <c:v>-9.375253914312154E-05</c:v>
                </c:pt>
                <c:pt idx="8">
                  <c:v>-0.012013956697775763</c:v>
                </c:pt>
                <c:pt idx="9">
                  <c:v>-0.03513387891951684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CommonProfileView!$J$3</c:f>
              <c:strCache>
                <c:ptCount val="1"/>
                <c:pt idx="0">
                  <c:v>-2.3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CommonProfileView!$H$4:$H$13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CommonProfileView!$J$4:$J$13</c:f>
              <c:numCache>
                <c:ptCount val="10"/>
                <c:pt idx="0">
                  <c:v>-0.05713706059844128</c:v>
                </c:pt>
                <c:pt idx="1">
                  <c:v>-0.02987909621561957</c:v>
                </c:pt>
                <c:pt idx="2">
                  <c:v>-0.013421081442741923</c:v>
                </c:pt>
                <c:pt idx="3">
                  <c:v>-0.005963093553275933</c:v>
                </c:pt>
                <c:pt idx="4">
                  <c:v>-0.001905127482070501</c:v>
                </c:pt>
                <c:pt idx="5">
                  <c:v>-0.01070293653556791</c:v>
                </c:pt>
                <c:pt idx="6">
                  <c:v>-0.010701311406055191</c:v>
                </c:pt>
                <c:pt idx="7">
                  <c:v>-0.010699686276542431</c:v>
                </c:pt>
                <c:pt idx="8">
                  <c:v>-0.02001981922606839</c:v>
                </c:pt>
                <c:pt idx="9">
                  <c:v>-0.03893988241625529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CommonProfileView!$K$3</c:f>
              <c:strCache>
                <c:ptCount val="1"/>
                <c:pt idx="0">
                  <c:v>13.1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CommonProfileView!$H$4:$H$13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CommonProfileView!$K$4:$K$13</c:f>
              <c:numCache>
                <c:ptCount val="10"/>
                <c:pt idx="0">
                  <c:v>-0.043245082796678457</c:v>
                </c:pt>
                <c:pt idx="1">
                  <c:v>-0.01558709321882885</c:v>
                </c:pt>
                <c:pt idx="2">
                  <c:v>-0.004129103640979093</c:v>
                </c:pt>
                <c:pt idx="3">
                  <c:v>-0.0010711140631294081</c:v>
                </c:pt>
                <c:pt idx="4">
                  <c:v>-0.0006130381215994962</c:v>
                </c:pt>
                <c:pt idx="5">
                  <c:v>-0.009508940032306335</c:v>
                </c:pt>
                <c:pt idx="6">
                  <c:v>-0.006907349782463212</c:v>
                </c:pt>
                <c:pt idx="7">
                  <c:v>-0.004305759532620112</c:v>
                </c:pt>
                <c:pt idx="8">
                  <c:v>-0.007425822722806919</c:v>
                </c:pt>
                <c:pt idx="9">
                  <c:v>-0.025545816153654588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CommonProfileView!$L$3</c:f>
              <c:strCache>
                <c:ptCount val="1"/>
                <c:pt idx="0">
                  <c:v>28.5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CommonProfileView!$H$4:$H$13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CommonProfileView!$L$4:$L$13</c:f>
              <c:numCache>
                <c:ptCount val="10"/>
                <c:pt idx="0">
                  <c:v>-0.03815307979988773</c:v>
                </c:pt>
                <c:pt idx="1">
                  <c:v>-0.009095090222037982</c:v>
                </c:pt>
                <c:pt idx="2">
                  <c:v>0.0009628993558116639</c:v>
                </c:pt>
                <c:pt idx="3">
                  <c:v>0.00842095010231365</c:v>
                </c:pt>
                <c:pt idx="4">
                  <c:v>0.0060788785115110325</c:v>
                </c:pt>
                <c:pt idx="5">
                  <c:v>-0.0029149435290447556</c:v>
                </c:pt>
                <c:pt idx="6">
                  <c:v>-0.00021323711689866798</c:v>
                </c:pt>
                <c:pt idx="7">
                  <c:v>0.0024884692952473753</c:v>
                </c:pt>
                <c:pt idx="8">
                  <c:v>-0.0006318262195452284</c:v>
                </c:pt>
                <c:pt idx="9">
                  <c:v>-0.01855188940973216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CommonProfileView!$M$3</c:f>
              <c:strCache>
                <c:ptCount val="1"/>
                <c:pt idx="0">
                  <c:v>43.9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CommonProfileView!$H$4:$H$13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CommonProfileView!$M$4:$M$13</c:f>
              <c:numCache>
                <c:ptCount val="10"/>
                <c:pt idx="0">
                  <c:v>-0.032461076803096955</c:v>
                </c:pt>
                <c:pt idx="1">
                  <c:v>-0.005403038523574955</c:v>
                </c:pt>
                <c:pt idx="2">
                  <c:v>0.008054902352602467</c:v>
                </c:pt>
                <c:pt idx="3">
                  <c:v>0.014112891930452221</c:v>
                </c:pt>
                <c:pt idx="4">
                  <c:v>0.014570881508301835</c:v>
                </c:pt>
                <c:pt idx="5">
                  <c:v>0.0066790529742167815</c:v>
                </c:pt>
                <c:pt idx="6">
                  <c:v>0.009680643224059926</c:v>
                </c:pt>
                <c:pt idx="7">
                  <c:v>0.012682233473903159</c:v>
                </c:pt>
                <c:pt idx="8">
                  <c:v>0.004362170283716238</c:v>
                </c:pt>
                <c:pt idx="9">
                  <c:v>-0.016957892906470585</c:v>
                </c:pt>
              </c:numCache>
            </c:numRef>
          </c:yVal>
          <c:smooth val="1"/>
        </c:ser>
        <c:axId val="21941908"/>
        <c:axId val="63259445"/>
      </c:scatterChart>
      <c:valAx>
        <c:axId val="21941908"/>
        <c:scaling>
          <c:orientation val="minMax"/>
          <c:max val="8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x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259445"/>
        <c:crossesAt val="-100"/>
        <c:crossBetween val="midCat"/>
        <c:dispUnits/>
        <c:majorUnit val="20"/>
      </c:valAx>
      <c:valAx>
        <c:axId val="63259445"/>
        <c:scaling>
          <c:orientation val="minMax"/>
          <c:max val="0.05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z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941908"/>
        <c:crossesAt val="-100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Helv"/>
                <a:ea typeface="Helv"/>
                <a:cs typeface="Helv"/>
              </a:rPr>
              <a:t>Upper surface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3375"/>
          <c:w val="0.7345"/>
          <c:h val="0.75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CommonProfileView!$H$4</c:f>
              <c:strCache>
                <c:ptCount val="1"/>
                <c:pt idx="0">
                  <c:v>-61.0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CommonProfileView!$I$3:$M$3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CommonProfileView!$I$4:$M$4</c:f>
              <c:numCache>
                <c:ptCount val="5"/>
                <c:pt idx="0">
                  <c:v>-0.05082906528361578</c:v>
                </c:pt>
                <c:pt idx="1">
                  <c:v>-0.05713706059844128</c:v>
                </c:pt>
                <c:pt idx="2">
                  <c:v>-0.043245082796678457</c:v>
                </c:pt>
                <c:pt idx="3">
                  <c:v>-0.03815307979988773</c:v>
                </c:pt>
                <c:pt idx="4">
                  <c:v>-0.032461076803096955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CommonProfileView!$H$5</c:f>
              <c:strCache>
                <c:ptCount val="1"/>
                <c:pt idx="0">
                  <c:v>-46.6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CommonProfileView!$I$3:$M$3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CommonProfileView!$I$5:$M$5</c:f>
              <c:numCache>
                <c:ptCount val="5"/>
                <c:pt idx="0">
                  <c:v>-0.01797109921241038</c:v>
                </c:pt>
                <c:pt idx="1">
                  <c:v>-0.02987909621561957</c:v>
                </c:pt>
                <c:pt idx="2">
                  <c:v>-0.01558709321882885</c:v>
                </c:pt>
                <c:pt idx="3">
                  <c:v>-0.009095090222037982</c:v>
                </c:pt>
                <c:pt idx="4">
                  <c:v>-0.005403038523574955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CommonProfileView!$H$6</c:f>
              <c:strCache>
                <c:ptCount val="1"/>
                <c:pt idx="0">
                  <c:v>-32.2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CommonProfileView!$I$3:$M$3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CommonProfileView!$I$6:$M$6</c:f>
              <c:numCache>
                <c:ptCount val="5"/>
                <c:pt idx="0">
                  <c:v>-0.0005131096345607044</c:v>
                </c:pt>
                <c:pt idx="1">
                  <c:v>-0.013421081442741923</c:v>
                </c:pt>
                <c:pt idx="2">
                  <c:v>-0.004129103640979093</c:v>
                </c:pt>
                <c:pt idx="3">
                  <c:v>0.0009628993558116639</c:v>
                </c:pt>
                <c:pt idx="4">
                  <c:v>0.008054902352602467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CommonProfileView!$H$7</c:f>
              <c:strCache>
                <c:ptCount val="1"/>
                <c:pt idx="0">
                  <c:v>-17.8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CommonProfileView!$I$3:$M$3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CommonProfileView!$I$7:$M$7</c:f>
              <c:numCache>
                <c:ptCount val="5"/>
                <c:pt idx="0">
                  <c:v>0.006944941111941283</c:v>
                </c:pt>
                <c:pt idx="1">
                  <c:v>-0.005963093553275933</c:v>
                </c:pt>
                <c:pt idx="2">
                  <c:v>-0.0010711140631294081</c:v>
                </c:pt>
                <c:pt idx="3">
                  <c:v>0.00842095010231365</c:v>
                </c:pt>
                <c:pt idx="4">
                  <c:v>0.014112891930452221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CommonProfileView!$H$8</c:f>
              <c:strCache>
                <c:ptCount val="1"/>
                <c:pt idx="0">
                  <c:v>-3.4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CommonProfileView!$I$3:$M$3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CommonProfileView!$I$8:$M$8</c:f>
              <c:numCache>
                <c:ptCount val="5"/>
                <c:pt idx="0">
                  <c:v>0.005202869521138753</c:v>
                </c:pt>
                <c:pt idx="1">
                  <c:v>-0.001905127482070501</c:v>
                </c:pt>
                <c:pt idx="2">
                  <c:v>-0.0006130381215994962</c:v>
                </c:pt>
                <c:pt idx="3">
                  <c:v>0.0060788785115110325</c:v>
                </c:pt>
                <c:pt idx="4">
                  <c:v>0.014570881508301835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CommonProfileView!$H$9</c:f>
              <c:strCache>
                <c:ptCount val="1"/>
                <c:pt idx="0">
                  <c:v>2.1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CommonProfileView!$I$3:$M$3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CommonProfileView!$I$9:$M$9</c:f>
              <c:numCache>
                <c:ptCount val="5"/>
                <c:pt idx="0">
                  <c:v>-0.0010969330388295394</c:v>
                </c:pt>
                <c:pt idx="1">
                  <c:v>-0.01070293653556791</c:v>
                </c:pt>
                <c:pt idx="2">
                  <c:v>-0.009508940032306335</c:v>
                </c:pt>
                <c:pt idx="3">
                  <c:v>-0.0029149435290447556</c:v>
                </c:pt>
                <c:pt idx="4">
                  <c:v>0.0066790529742167815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CommonProfileView!$H$10</c:f>
              <c:strCache>
                <c:ptCount val="1"/>
                <c:pt idx="0">
                  <c:v>17.0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CommonProfileView!$I$3:$M$3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CommonProfileView!$I$10:$M$10</c:f>
              <c:numCache>
                <c:ptCount val="5"/>
                <c:pt idx="0">
                  <c:v>-0.0005953427889863639</c:v>
                </c:pt>
                <c:pt idx="1">
                  <c:v>-0.010701311406055191</c:v>
                </c:pt>
                <c:pt idx="2">
                  <c:v>-0.006907349782463212</c:v>
                </c:pt>
                <c:pt idx="3">
                  <c:v>-0.00021323711689866798</c:v>
                </c:pt>
                <c:pt idx="4">
                  <c:v>0.009680643224059926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CommonProfileView!$H$11</c:f>
              <c:strCache>
                <c:ptCount val="1"/>
                <c:pt idx="0">
                  <c:v>31.9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CommonProfileView!$I$3:$M$3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CommonProfileView!$I$11:$M$11</c:f>
              <c:numCache>
                <c:ptCount val="5"/>
                <c:pt idx="0">
                  <c:v>-9.375253914312154E-05</c:v>
                </c:pt>
                <c:pt idx="1">
                  <c:v>-0.010699686276542431</c:v>
                </c:pt>
                <c:pt idx="2">
                  <c:v>-0.004305759532620112</c:v>
                </c:pt>
                <c:pt idx="3">
                  <c:v>0.0024884692952473753</c:v>
                </c:pt>
                <c:pt idx="4">
                  <c:v>0.012682233473903159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CommonProfileView!$H$12</c:f>
              <c:strCache>
                <c:ptCount val="1"/>
                <c:pt idx="0">
                  <c:v>46.3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CommonProfileView!$I$3:$M$3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CommonProfileView!$I$12:$M$12</c:f>
              <c:numCache>
                <c:ptCount val="5"/>
                <c:pt idx="0">
                  <c:v>-0.012013956697775763</c:v>
                </c:pt>
                <c:pt idx="1">
                  <c:v>-0.02001981922606839</c:v>
                </c:pt>
                <c:pt idx="2">
                  <c:v>-0.007425822722806919</c:v>
                </c:pt>
                <c:pt idx="3">
                  <c:v>-0.0006318262195452284</c:v>
                </c:pt>
                <c:pt idx="4">
                  <c:v>0.004362170283716238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CommonProfileView!$H$13</c:f>
              <c:strCache>
                <c:ptCount val="1"/>
                <c:pt idx="0">
                  <c:v>60.7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CommonProfileView!$I$3:$M$3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CommonProfileView!$I$13:$M$13</c:f>
              <c:numCache>
                <c:ptCount val="5"/>
                <c:pt idx="0">
                  <c:v>-0.03513387891951684</c:v>
                </c:pt>
                <c:pt idx="1">
                  <c:v>-0.03893988241625529</c:v>
                </c:pt>
                <c:pt idx="2">
                  <c:v>-0.025545816153654588</c:v>
                </c:pt>
                <c:pt idx="3">
                  <c:v>-0.01855188940973216</c:v>
                </c:pt>
                <c:pt idx="4">
                  <c:v>-0.016957892906470585</c:v>
                </c:pt>
              </c:numCache>
            </c:numRef>
          </c:yVal>
          <c:smooth val="1"/>
        </c:ser>
        <c:axId val="32464094"/>
        <c:axId val="23741391"/>
      </c:scatterChart>
      <c:valAx>
        <c:axId val="32464094"/>
        <c:scaling>
          <c:orientation val="minMax"/>
          <c:max val="8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y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741391"/>
        <c:crossesAt val="-100"/>
        <c:crossBetween val="midCat"/>
        <c:dispUnits/>
        <c:majorUnit val="20"/>
      </c:valAx>
      <c:valAx>
        <c:axId val="23741391"/>
        <c:scaling>
          <c:orientation val="minMax"/>
          <c:max val="0.05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z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464094"/>
        <c:crossesAt val="-100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Helv"/>
                <a:ea typeface="Helv"/>
                <a:cs typeface="Helv"/>
              </a:rPr>
              <a:t>Lower surface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3375"/>
          <c:w val="0.73475"/>
          <c:h val="0.75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CommonDeviationsView!$B$3</c:f>
              <c:strCache>
                <c:ptCount val="1"/>
                <c:pt idx="0">
                  <c:v>1.2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CommonDeviationsView!$A$4:$A$13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CommonDeviationsView!$B$4:$B$13</c:f>
              <c:numCache>
                <c:ptCount val="10"/>
                <c:pt idx="0">
                  <c:v>-0.0046757884401487995</c:v>
                </c:pt>
                <c:pt idx="1">
                  <c:v>-0.00400370777534198</c:v>
                </c:pt>
                <c:pt idx="2">
                  <c:v>-0.003731759502690801</c:v>
                </c:pt>
                <c:pt idx="3">
                  <c:v>-0.0032597474494420854</c:v>
                </c:pt>
                <c:pt idx="4">
                  <c:v>-0.00518773006433404</c:v>
                </c:pt>
                <c:pt idx="5">
                  <c:v>0.0009110678884216121</c:v>
                </c:pt>
                <c:pt idx="6">
                  <c:v>0.0012431301840271965</c:v>
                </c:pt>
                <c:pt idx="7">
                  <c:v>0.001575192479632781</c:v>
                </c:pt>
                <c:pt idx="8">
                  <c:v>0.0005193763031736687</c:v>
                </c:pt>
                <c:pt idx="9">
                  <c:v>0.0036635791927253636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CommonDeviationsView!$C$3</c:f>
              <c:strCache>
                <c:ptCount val="1"/>
                <c:pt idx="0">
                  <c:v>16.6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CommonDeviationsView!$A$4:$A$13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CommonDeviationsView!$C$4:$C$13</c:f>
              <c:numCache>
                <c:ptCount val="10"/>
                <c:pt idx="0">
                  <c:v>-0.0027977831319483254</c:v>
                </c:pt>
                <c:pt idx="1">
                  <c:v>-0.0019257609201293706</c:v>
                </c:pt>
                <c:pt idx="2">
                  <c:v>0.0021461412415610948</c:v>
                </c:pt>
                <c:pt idx="3">
                  <c:v>0.0014181994057705927</c:v>
                </c:pt>
                <c:pt idx="4">
                  <c:v>-0.00010976070852410924</c:v>
                </c:pt>
                <c:pt idx="5">
                  <c:v>-0.0005429334689863287</c:v>
                </c:pt>
                <c:pt idx="6">
                  <c:v>0.0016891095111644995</c:v>
                </c:pt>
                <c:pt idx="7">
                  <c:v>0.0039211524913152825</c:v>
                </c:pt>
                <c:pt idx="8">
                  <c:v>0.0030655298288362106</c:v>
                </c:pt>
                <c:pt idx="9">
                  <c:v>9.677270307949237E-06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CommonDeviationsView!$D$3</c:f>
              <c:strCache>
                <c:ptCount val="1"/>
                <c:pt idx="0">
                  <c:v>32.0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CommonDeviationsView!$A$4:$A$13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CommonDeviationsView!$D$4:$D$13</c:f>
              <c:numCache>
                <c:ptCount val="10"/>
                <c:pt idx="0">
                  <c:v>0.0008802141060530316</c:v>
                </c:pt>
                <c:pt idx="1">
                  <c:v>0.000552277047238748</c:v>
                </c:pt>
                <c:pt idx="2">
                  <c:v>0.0008242493274328577</c:v>
                </c:pt>
                <c:pt idx="3">
                  <c:v>0.002696260428619035</c:v>
                </c:pt>
                <c:pt idx="4">
                  <c:v>0.0023682144800437842</c:v>
                </c:pt>
                <c:pt idx="5">
                  <c:v>0.004603065173605603</c:v>
                </c:pt>
                <c:pt idx="6">
                  <c:v>0.004835031887768082</c:v>
                </c:pt>
                <c:pt idx="7">
                  <c:v>0.005066998601930606</c:v>
                </c:pt>
                <c:pt idx="8">
                  <c:v>0.006211373588357705</c:v>
                </c:pt>
                <c:pt idx="9">
                  <c:v>0.007555675912899941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CommonDeviationsView!$E$3</c:f>
              <c:strCache>
                <c:ptCount val="1"/>
                <c:pt idx="0">
                  <c:v>47.4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CommonDeviationsView!$A$4:$A$13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CommonDeviationsView!$E$4:$E$13</c:f>
              <c:numCache>
                <c:ptCount val="10"/>
                <c:pt idx="0">
                  <c:v>0.0011581861065588228</c:v>
                </c:pt>
                <c:pt idx="1">
                  <c:v>0.0018302641806543299</c:v>
                </c:pt>
                <c:pt idx="2">
                  <c:v>0.004302243427106944</c:v>
                </c:pt>
                <c:pt idx="3">
                  <c:v>0.003574258117784312</c:v>
                </c:pt>
                <c:pt idx="4">
                  <c:v>0.0036462755028922934</c:v>
                </c:pt>
                <c:pt idx="5">
                  <c:v>0.0075490638161975765</c:v>
                </c:pt>
                <c:pt idx="6">
                  <c:v>0.00798108169912819</c:v>
                </c:pt>
                <c:pt idx="7">
                  <c:v>0.008413099582058825</c:v>
                </c:pt>
                <c:pt idx="8">
                  <c:v>0.009357513199395328</c:v>
                </c:pt>
                <c:pt idx="9">
                  <c:v>0.008901747619815124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CommonDeviationsView!$F$3</c:f>
              <c:strCache>
                <c:ptCount val="1"/>
                <c:pt idx="0">
                  <c:v>62.8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CommonDeviationsView!$A$4:$A$13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CommonDeviationsView!$F$4:$F$13</c:f>
              <c:numCache>
                <c:ptCount val="10"/>
                <c:pt idx="0">
                  <c:v>0.0020362454907583843</c:v>
                </c:pt>
                <c:pt idx="1">
                  <c:v>0.0017082849252998632</c:v>
                </c:pt>
                <c:pt idx="2">
                  <c:v>0.0021802509215721917</c:v>
                </c:pt>
                <c:pt idx="3">
                  <c:v>0.001052222195719387</c:v>
                </c:pt>
                <c:pt idx="4">
                  <c:v>0.002324244858702352</c:v>
                </c:pt>
                <c:pt idx="5">
                  <c:v>0.004495062458789545</c:v>
                </c:pt>
                <c:pt idx="6">
                  <c:v>0.0044270803417201686</c:v>
                </c:pt>
                <c:pt idx="7">
                  <c:v>0.004359098224650793</c:v>
                </c:pt>
                <c:pt idx="8">
                  <c:v>0.003903400549193114</c:v>
                </c:pt>
                <c:pt idx="9">
                  <c:v>0.004447643522432321</c:v>
                </c:pt>
              </c:numCache>
            </c:numRef>
          </c:yVal>
          <c:smooth val="1"/>
        </c:ser>
        <c:axId val="12345928"/>
        <c:axId val="44004489"/>
      </c:scatterChart>
      <c:valAx>
        <c:axId val="12345928"/>
        <c:scaling>
          <c:orientation val="minMax"/>
          <c:max val="8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x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004489"/>
        <c:crossesAt val="-100"/>
        <c:crossBetween val="midCat"/>
        <c:dispUnits/>
        <c:majorUnit val="20"/>
      </c:valAx>
      <c:valAx>
        <c:axId val="44004489"/>
        <c:scaling>
          <c:orientation val="minMax"/>
          <c:max val="0.0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z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345928"/>
        <c:crossesAt val="-100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Helv"/>
                <a:ea typeface="Helv"/>
                <a:cs typeface="Helv"/>
              </a:rPr>
              <a:t>Lower surface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3375"/>
          <c:w val="0.73375"/>
          <c:h val="0.75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CommonDeviationsView!$A$4</c:f>
              <c:strCache>
                <c:ptCount val="1"/>
                <c:pt idx="0">
                  <c:v>-61.0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CommonDeviationsView!$B$3:$F$3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CommonDeviationsView!$B$4:$F$4</c:f>
              <c:numCache>
                <c:ptCount val="5"/>
                <c:pt idx="0">
                  <c:v>-0.0046757884401487995</c:v>
                </c:pt>
                <c:pt idx="1">
                  <c:v>-0.0027977831319483254</c:v>
                </c:pt>
                <c:pt idx="2">
                  <c:v>0.0008802141060530316</c:v>
                </c:pt>
                <c:pt idx="3">
                  <c:v>0.0011581861065588228</c:v>
                </c:pt>
                <c:pt idx="4">
                  <c:v>0.0020362454907583843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CommonDeviationsView!$A$5</c:f>
              <c:strCache>
                <c:ptCount val="1"/>
                <c:pt idx="0">
                  <c:v>-46.6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CommonDeviationsView!$B$3:$F$3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CommonDeviationsView!$B$5:$F$5</c:f>
              <c:numCache>
                <c:ptCount val="5"/>
                <c:pt idx="0">
                  <c:v>-0.00400370777534198</c:v>
                </c:pt>
                <c:pt idx="1">
                  <c:v>-0.0019257609201293706</c:v>
                </c:pt>
                <c:pt idx="2">
                  <c:v>0.000552277047238748</c:v>
                </c:pt>
                <c:pt idx="3">
                  <c:v>0.0018302641806543299</c:v>
                </c:pt>
                <c:pt idx="4">
                  <c:v>0.0017082849252998632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CommonDeviationsView!$A$6</c:f>
              <c:strCache>
                <c:ptCount val="1"/>
                <c:pt idx="0">
                  <c:v>-32.2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CommonDeviationsView!$B$3:$F$3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CommonDeviationsView!$B$6:$F$6</c:f>
              <c:numCache>
                <c:ptCount val="5"/>
                <c:pt idx="0">
                  <c:v>-0.003731759502690801</c:v>
                </c:pt>
                <c:pt idx="1">
                  <c:v>0.0021461412415610948</c:v>
                </c:pt>
                <c:pt idx="2">
                  <c:v>0.0008242493274328577</c:v>
                </c:pt>
                <c:pt idx="3">
                  <c:v>0.004302243427106944</c:v>
                </c:pt>
                <c:pt idx="4">
                  <c:v>0.0021802509215721917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CommonDeviationsView!$A$7</c:f>
              <c:strCache>
                <c:ptCount val="1"/>
                <c:pt idx="0">
                  <c:v>-17.8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CommonDeviationsView!$B$3:$F$3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CommonDeviationsView!$B$7:$F$7</c:f>
              <c:numCache>
                <c:ptCount val="5"/>
                <c:pt idx="0">
                  <c:v>-0.0032597474494420854</c:v>
                </c:pt>
                <c:pt idx="1">
                  <c:v>0.0014181994057705927</c:v>
                </c:pt>
                <c:pt idx="2">
                  <c:v>0.002696260428619035</c:v>
                </c:pt>
                <c:pt idx="3">
                  <c:v>0.003574258117784312</c:v>
                </c:pt>
                <c:pt idx="4">
                  <c:v>0.001052222195719387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CommonDeviationsView!$A$8</c:f>
              <c:strCache>
                <c:ptCount val="1"/>
                <c:pt idx="0">
                  <c:v>-3.4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CommonDeviationsView!$B$3:$F$3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CommonDeviationsView!$B$8:$F$8</c:f>
              <c:numCache>
                <c:ptCount val="5"/>
                <c:pt idx="0">
                  <c:v>-0.00518773006433404</c:v>
                </c:pt>
                <c:pt idx="1">
                  <c:v>-0.00010976070852410924</c:v>
                </c:pt>
                <c:pt idx="2">
                  <c:v>0.0023682144800437842</c:v>
                </c:pt>
                <c:pt idx="3">
                  <c:v>0.0036462755028922934</c:v>
                </c:pt>
                <c:pt idx="4">
                  <c:v>0.002324244858702352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CommonDeviationsView!$A$9</c:f>
              <c:strCache>
                <c:ptCount val="1"/>
                <c:pt idx="0">
                  <c:v>2.1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CommonDeviationsView!$B$3:$F$3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CommonDeviationsView!$B$9:$F$9</c:f>
              <c:numCache>
                <c:ptCount val="5"/>
                <c:pt idx="0">
                  <c:v>0.0009110678884216121</c:v>
                </c:pt>
                <c:pt idx="1">
                  <c:v>-0.0005429334689863287</c:v>
                </c:pt>
                <c:pt idx="2">
                  <c:v>0.004603065173605603</c:v>
                </c:pt>
                <c:pt idx="3">
                  <c:v>0.0075490638161975765</c:v>
                </c:pt>
                <c:pt idx="4">
                  <c:v>0.004495062458789545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CommonDeviationsView!$A$10</c:f>
              <c:strCache>
                <c:ptCount val="1"/>
                <c:pt idx="0">
                  <c:v>17.0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CommonDeviationsView!$B$3:$F$3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CommonDeviationsView!$B$10:$F$10</c:f>
              <c:numCache>
                <c:ptCount val="5"/>
                <c:pt idx="0">
                  <c:v>0.0012431301840271965</c:v>
                </c:pt>
                <c:pt idx="1">
                  <c:v>0.0016891095111644995</c:v>
                </c:pt>
                <c:pt idx="2">
                  <c:v>0.004835031887768082</c:v>
                </c:pt>
                <c:pt idx="3">
                  <c:v>0.00798108169912819</c:v>
                </c:pt>
                <c:pt idx="4">
                  <c:v>0.0044270803417201686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CommonDeviationsView!$A$11</c:f>
              <c:strCache>
                <c:ptCount val="1"/>
                <c:pt idx="0">
                  <c:v>31.9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CommonDeviationsView!$B$3:$F$3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CommonDeviationsView!$B$11:$F$11</c:f>
              <c:numCache>
                <c:ptCount val="5"/>
                <c:pt idx="0">
                  <c:v>0.001575192479632781</c:v>
                </c:pt>
                <c:pt idx="1">
                  <c:v>0.0039211524913152825</c:v>
                </c:pt>
                <c:pt idx="2">
                  <c:v>0.005066998601930606</c:v>
                </c:pt>
                <c:pt idx="3">
                  <c:v>0.008413099582058825</c:v>
                </c:pt>
                <c:pt idx="4">
                  <c:v>0.004359098224650793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CommonDeviationsView!$A$12</c:f>
              <c:strCache>
                <c:ptCount val="1"/>
                <c:pt idx="0">
                  <c:v>46.3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CommonDeviationsView!$B$3:$F$3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CommonDeviationsView!$B$12:$F$12</c:f>
              <c:numCache>
                <c:ptCount val="5"/>
                <c:pt idx="0">
                  <c:v>0.0005193763031736687</c:v>
                </c:pt>
                <c:pt idx="1">
                  <c:v>0.0030655298288362106</c:v>
                </c:pt>
                <c:pt idx="2">
                  <c:v>0.006211373588357705</c:v>
                </c:pt>
                <c:pt idx="3">
                  <c:v>0.009357513199395328</c:v>
                </c:pt>
                <c:pt idx="4">
                  <c:v>0.003903400549193114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CommonDeviationsView!$A$13</c:f>
              <c:strCache>
                <c:ptCount val="1"/>
                <c:pt idx="0">
                  <c:v>60.7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CommonDeviationsView!$B$3:$F$3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CommonDeviationsView!$B$13:$F$13</c:f>
              <c:numCache>
                <c:ptCount val="5"/>
                <c:pt idx="0">
                  <c:v>0.0036635791927253636</c:v>
                </c:pt>
                <c:pt idx="1">
                  <c:v>9.677270307949237E-06</c:v>
                </c:pt>
                <c:pt idx="2">
                  <c:v>0.007555675912899941</c:v>
                </c:pt>
                <c:pt idx="3">
                  <c:v>0.008901747619815124</c:v>
                </c:pt>
                <c:pt idx="4">
                  <c:v>0.004447643522432321</c:v>
                </c:pt>
              </c:numCache>
            </c:numRef>
          </c:yVal>
          <c:smooth val="1"/>
        </c:ser>
        <c:axId val="60496082"/>
        <c:axId val="7593827"/>
      </c:scatterChart>
      <c:valAx>
        <c:axId val="60496082"/>
        <c:scaling>
          <c:orientation val="minMax"/>
          <c:max val="8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y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593827"/>
        <c:crossesAt val="-100"/>
        <c:crossBetween val="midCat"/>
        <c:dispUnits/>
        <c:majorUnit val="20"/>
      </c:valAx>
      <c:valAx>
        <c:axId val="7593827"/>
        <c:scaling>
          <c:orientation val="minMax"/>
          <c:max val="0.0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z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496082"/>
        <c:crossesAt val="-100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Helv"/>
                <a:ea typeface="Helv"/>
                <a:cs typeface="Helv"/>
              </a:rPr>
              <a:t>Upper surface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3375"/>
          <c:w val="0.73475"/>
          <c:h val="0.75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CommonDeviationsView!$I$3</c:f>
              <c:strCache>
                <c:ptCount val="1"/>
                <c:pt idx="0">
                  <c:v>1.2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CommonDeviationsView!$H$4:$H$13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CommonDeviationsView!$I$4:$I$13</c:f>
              <c:numCache>
                <c:ptCount val="10"/>
                <c:pt idx="0">
                  <c:v>0.0041477666503425895</c:v>
                </c:pt>
                <c:pt idx="1">
                  <c:v>0.004819784486614485</c:v>
                </c:pt>
                <c:pt idx="2">
                  <c:v>0.005891778816242099</c:v>
                </c:pt>
                <c:pt idx="3">
                  <c:v>0.004963813924971183</c:v>
                </c:pt>
                <c:pt idx="4">
                  <c:v>0.0022357674754972965</c:v>
                </c:pt>
                <c:pt idx="5">
                  <c:v>0.0024230911077713023</c:v>
                </c:pt>
                <c:pt idx="6">
                  <c:v>0.0016572681001072898</c:v>
                </c:pt>
                <c:pt idx="7">
                  <c:v>0.0008914450924429884</c:v>
                </c:pt>
                <c:pt idx="8">
                  <c:v>-0.001764141290220577</c:v>
                </c:pt>
                <c:pt idx="9">
                  <c:v>-0.003220009609775497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CommonDeviationsView!$J$3</c:f>
              <c:strCache>
                <c:ptCount val="1"/>
                <c:pt idx="0">
                  <c:v>16.6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CommonDeviationsView!$H$4:$H$13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CommonDeviationsView!$J$4:$J$13</c:f>
              <c:numCache>
                <c:ptCount val="10"/>
                <c:pt idx="0">
                  <c:v>2.5757373249300775E-05</c:v>
                </c:pt>
                <c:pt idx="1">
                  <c:v>0.0002977768979047779</c:v>
                </c:pt>
                <c:pt idx="2">
                  <c:v>0.00036974603250452577</c:v>
                </c:pt>
                <c:pt idx="3">
                  <c:v>-0.000558257949484298</c:v>
                </c:pt>
                <c:pt idx="4">
                  <c:v>-8.62401132123436E-05</c:v>
                </c:pt>
                <c:pt idx="5">
                  <c:v>-0.004030910249636598</c:v>
                </c:pt>
                <c:pt idx="6">
                  <c:v>-0.0037967681369703195</c:v>
                </c:pt>
                <c:pt idx="7">
                  <c:v>-0.0035626260243041934</c:v>
                </c:pt>
                <c:pt idx="8">
                  <c:v>-0.0038182836160742147</c:v>
                </c:pt>
                <c:pt idx="9">
                  <c:v>-0.0064740109671834745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CommonDeviationsView!$K$3</c:f>
              <c:strCache>
                <c:ptCount val="1"/>
                <c:pt idx="0">
                  <c:v>32.0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CommonDeviationsView!$H$4:$H$13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CommonDeviationsView!$K$4:$K$13</c:f>
              <c:numCache>
                <c:ptCount val="10"/>
                <c:pt idx="0">
                  <c:v>-0.001296225020432397</c:v>
                </c:pt>
                <c:pt idx="1">
                  <c:v>-0.00042423069080481726</c:v>
                </c:pt>
                <c:pt idx="2">
                  <c:v>-0.0003522363611771825</c:v>
                </c:pt>
                <c:pt idx="3">
                  <c:v>-0.0018802420315495948</c:v>
                </c:pt>
                <c:pt idx="4">
                  <c:v>-0.0038082321178484423</c:v>
                </c:pt>
                <c:pt idx="5">
                  <c:v>-0.007284911607044652</c:v>
                </c:pt>
                <c:pt idx="6">
                  <c:v>-0.0056507346147088855</c:v>
                </c:pt>
                <c:pt idx="7">
                  <c:v>-0.004016557622373096</c:v>
                </c:pt>
                <c:pt idx="8">
                  <c:v>-0.004472284973482265</c:v>
                </c:pt>
                <c:pt idx="9">
                  <c:v>-0.005928082083930586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CommonDeviationsView!$L$3</c:f>
              <c:strCache>
                <c:ptCount val="1"/>
                <c:pt idx="0">
                  <c:v>47.4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CommonDeviationsView!$H$4:$H$13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CommonDeviationsView!$L$4:$L$13</c:f>
              <c:numCache>
                <c:ptCount val="10"/>
                <c:pt idx="0">
                  <c:v>-0.0008182326091420028</c:v>
                </c:pt>
                <c:pt idx="1">
                  <c:v>-0.0023462382795145682</c:v>
                </c:pt>
                <c:pt idx="2">
                  <c:v>-0.003874243949886824</c:v>
                </c:pt>
                <c:pt idx="3">
                  <c:v>-0.0028022088411577377</c:v>
                </c:pt>
                <c:pt idx="4">
                  <c:v>-0.004930255290631647</c:v>
                </c:pt>
                <c:pt idx="5">
                  <c:v>-0.008938912964452705</c:v>
                </c:pt>
                <c:pt idx="6">
                  <c:v>-0.006904658530581665</c:v>
                </c:pt>
                <c:pt idx="7">
                  <c:v>-0.004870404096710468</c:v>
                </c:pt>
                <c:pt idx="8">
                  <c:v>-0.004326286330890316</c:v>
                </c:pt>
                <c:pt idx="9">
                  <c:v>-0.00998201368199949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CommonDeviationsView!$M$3</c:f>
              <c:strCache>
                <c:ptCount val="1"/>
                <c:pt idx="0">
                  <c:v>62.8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CommonDeviationsView!$H$4:$H$13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CommonDeviationsView!$M$4:$M$13</c:f>
              <c:numCache>
                <c:ptCount val="10"/>
                <c:pt idx="0">
                  <c:v>-0.0019402401978516615</c:v>
                </c:pt>
                <c:pt idx="1">
                  <c:v>-0.0014682945698962554</c:v>
                </c:pt>
                <c:pt idx="2">
                  <c:v>-0.0013962515385965053</c:v>
                </c:pt>
                <c:pt idx="3">
                  <c:v>-0.0019242572089688721</c:v>
                </c:pt>
                <c:pt idx="4">
                  <c:v>-0.0018522628793412148</c:v>
                </c:pt>
                <c:pt idx="5">
                  <c:v>-0.004592914321860708</c:v>
                </c:pt>
                <c:pt idx="6">
                  <c:v>-0.004358737329524964</c:v>
                </c:pt>
                <c:pt idx="7">
                  <c:v>-0.004124560337188976</c:v>
                </c:pt>
                <c:pt idx="8">
                  <c:v>-0.005380287688298258</c:v>
                </c:pt>
                <c:pt idx="9">
                  <c:v>-0.005636015039407537</c:v>
                </c:pt>
              </c:numCache>
            </c:numRef>
          </c:yVal>
          <c:smooth val="1"/>
        </c:ser>
        <c:axId val="1235580"/>
        <c:axId val="11120221"/>
      </c:scatterChart>
      <c:valAx>
        <c:axId val="1235580"/>
        <c:scaling>
          <c:orientation val="minMax"/>
          <c:max val="8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x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120221"/>
        <c:crossesAt val="-100"/>
        <c:crossBetween val="midCat"/>
        <c:dispUnits/>
        <c:majorUnit val="20"/>
      </c:valAx>
      <c:valAx>
        <c:axId val="11120221"/>
        <c:scaling>
          <c:orientation val="minMax"/>
          <c:max val="0.0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z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35580"/>
        <c:crossesAt val="-100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Helv"/>
                <a:ea typeface="Helv"/>
                <a:cs typeface="Helv"/>
              </a:rPr>
              <a:t>Upper surface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3375"/>
          <c:w val="0.73375"/>
          <c:h val="0.75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CommonDeviationsView!$H$4</c:f>
              <c:strCache>
                <c:ptCount val="1"/>
                <c:pt idx="0">
                  <c:v>-61.0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CommonDeviationsView!$I$3:$M$3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CommonDeviationsView!$I$4:$M$4</c:f>
              <c:numCache>
                <c:ptCount val="5"/>
                <c:pt idx="0">
                  <c:v>0.0041477666503425895</c:v>
                </c:pt>
                <c:pt idx="1">
                  <c:v>2.5757373249300775E-05</c:v>
                </c:pt>
                <c:pt idx="2">
                  <c:v>-0.001296225020432397</c:v>
                </c:pt>
                <c:pt idx="3">
                  <c:v>-0.0008182326091420028</c:v>
                </c:pt>
                <c:pt idx="4">
                  <c:v>-0.0019402401978516615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CommonDeviationsView!$H$5</c:f>
              <c:strCache>
                <c:ptCount val="1"/>
                <c:pt idx="0">
                  <c:v>-46.6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CommonDeviationsView!$I$3:$M$3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CommonDeviationsView!$I$5:$M$5</c:f>
              <c:numCache>
                <c:ptCount val="5"/>
                <c:pt idx="0">
                  <c:v>0.004819784486614485</c:v>
                </c:pt>
                <c:pt idx="1">
                  <c:v>0.0002977768979047779</c:v>
                </c:pt>
                <c:pt idx="2">
                  <c:v>-0.00042423069080481726</c:v>
                </c:pt>
                <c:pt idx="3">
                  <c:v>-0.0023462382795145682</c:v>
                </c:pt>
                <c:pt idx="4">
                  <c:v>-0.0014682945698962554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CommonDeviationsView!$H$6</c:f>
              <c:strCache>
                <c:ptCount val="1"/>
                <c:pt idx="0">
                  <c:v>-32.2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CommonDeviationsView!$I$3:$M$3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CommonDeviationsView!$I$6:$M$6</c:f>
              <c:numCache>
                <c:ptCount val="5"/>
                <c:pt idx="0">
                  <c:v>0.005891778816242099</c:v>
                </c:pt>
                <c:pt idx="1">
                  <c:v>0.00036974603250452577</c:v>
                </c:pt>
                <c:pt idx="2">
                  <c:v>-0.0003522363611771825</c:v>
                </c:pt>
                <c:pt idx="3">
                  <c:v>-0.003874243949886824</c:v>
                </c:pt>
                <c:pt idx="4">
                  <c:v>-0.0013962515385965053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CommonDeviationsView!$H$7</c:f>
              <c:strCache>
                <c:ptCount val="1"/>
                <c:pt idx="0">
                  <c:v>-17.8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CommonDeviationsView!$I$3:$M$3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CommonDeviationsView!$I$7:$M$7</c:f>
              <c:numCache>
                <c:ptCount val="5"/>
                <c:pt idx="0">
                  <c:v>0.004963813924971183</c:v>
                </c:pt>
                <c:pt idx="1">
                  <c:v>-0.000558257949484298</c:v>
                </c:pt>
                <c:pt idx="2">
                  <c:v>-0.0018802420315495948</c:v>
                </c:pt>
                <c:pt idx="3">
                  <c:v>-0.0028022088411577377</c:v>
                </c:pt>
                <c:pt idx="4">
                  <c:v>-0.0019242572089688721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CommonDeviationsView!$H$8</c:f>
              <c:strCache>
                <c:ptCount val="1"/>
                <c:pt idx="0">
                  <c:v>-3.4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CommonDeviationsView!$I$3:$M$3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CommonDeviationsView!$I$8:$M$8</c:f>
              <c:numCache>
                <c:ptCount val="5"/>
                <c:pt idx="0">
                  <c:v>0.0022357674754972965</c:v>
                </c:pt>
                <c:pt idx="1">
                  <c:v>-8.62401132123436E-05</c:v>
                </c:pt>
                <c:pt idx="2">
                  <c:v>-0.0038082321178484423</c:v>
                </c:pt>
                <c:pt idx="3">
                  <c:v>-0.004930255290631647</c:v>
                </c:pt>
                <c:pt idx="4">
                  <c:v>-0.0018522628793412148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CommonDeviationsView!$H$9</c:f>
              <c:strCache>
                <c:ptCount val="1"/>
                <c:pt idx="0">
                  <c:v>2.1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CommonDeviationsView!$I$3:$M$3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CommonDeviationsView!$I$9:$M$9</c:f>
              <c:numCache>
                <c:ptCount val="5"/>
                <c:pt idx="0">
                  <c:v>0.0024230911077713023</c:v>
                </c:pt>
                <c:pt idx="1">
                  <c:v>-0.004030910249636598</c:v>
                </c:pt>
                <c:pt idx="2">
                  <c:v>-0.007284911607044652</c:v>
                </c:pt>
                <c:pt idx="3">
                  <c:v>-0.008938912964452705</c:v>
                </c:pt>
                <c:pt idx="4">
                  <c:v>-0.004592914321860708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CommonDeviationsView!$H$10</c:f>
              <c:strCache>
                <c:ptCount val="1"/>
                <c:pt idx="0">
                  <c:v>17.0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CommonDeviationsView!$I$3:$M$3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CommonDeviationsView!$I$10:$M$10</c:f>
              <c:numCache>
                <c:ptCount val="5"/>
                <c:pt idx="0">
                  <c:v>0.0016572681001072898</c:v>
                </c:pt>
                <c:pt idx="1">
                  <c:v>-0.0037967681369703195</c:v>
                </c:pt>
                <c:pt idx="2">
                  <c:v>-0.0056507346147088855</c:v>
                </c:pt>
                <c:pt idx="3">
                  <c:v>-0.006904658530581665</c:v>
                </c:pt>
                <c:pt idx="4">
                  <c:v>-0.004358737329524964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CommonDeviationsView!$H$11</c:f>
              <c:strCache>
                <c:ptCount val="1"/>
                <c:pt idx="0">
                  <c:v>31.9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CommonDeviationsView!$I$3:$M$3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CommonDeviationsView!$I$11:$M$11</c:f>
              <c:numCache>
                <c:ptCount val="5"/>
                <c:pt idx="0">
                  <c:v>0.0008914450924429884</c:v>
                </c:pt>
                <c:pt idx="1">
                  <c:v>-0.0035626260243041934</c:v>
                </c:pt>
                <c:pt idx="2">
                  <c:v>-0.004016557622373096</c:v>
                </c:pt>
                <c:pt idx="3">
                  <c:v>-0.004870404096710468</c:v>
                </c:pt>
                <c:pt idx="4">
                  <c:v>-0.004124560337188976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CommonDeviationsView!$H$12</c:f>
              <c:strCache>
                <c:ptCount val="1"/>
                <c:pt idx="0">
                  <c:v>46.3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CommonDeviationsView!$I$3:$M$3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CommonDeviationsView!$I$12:$M$12</c:f>
              <c:numCache>
                <c:ptCount val="5"/>
                <c:pt idx="0">
                  <c:v>-0.001764141290220577</c:v>
                </c:pt>
                <c:pt idx="1">
                  <c:v>-0.0038182836160742147</c:v>
                </c:pt>
                <c:pt idx="2">
                  <c:v>-0.004472284973482265</c:v>
                </c:pt>
                <c:pt idx="3">
                  <c:v>-0.004326286330890316</c:v>
                </c:pt>
                <c:pt idx="4">
                  <c:v>-0.005380287688298258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CommonDeviationsView!$H$13</c:f>
              <c:strCache>
                <c:ptCount val="1"/>
                <c:pt idx="0">
                  <c:v>60.7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CommonDeviationsView!$I$3:$M$3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CommonDeviationsView!$I$13:$M$13</c:f>
              <c:numCache>
                <c:ptCount val="5"/>
                <c:pt idx="0">
                  <c:v>-0.003220009609775497</c:v>
                </c:pt>
                <c:pt idx="1">
                  <c:v>-0.0064740109671834745</c:v>
                </c:pt>
                <c:pt idx="2">
                  <c:v>-0.005928082083930586</c:v>
                </c:pt>
                <c:pt idx="3">
                  <c:v>-0.00998201368199949</c:v>
                </c:pt>
                <c:pt idx="4">
                  <c:v>-0.005636015039407537</c:v>
                </c:pt>
              </c:numCache>
            </c:numRef>
          </c:yVal>
          <c:smooth val="1"/>
        </c:ser>
        <c:axId val="32973126"/>
        <c:axId val="28322679"/>
      </c:scatterChart>
      <c:valAx>
        <c:axId val="32973126"/>
        <c:scaling>
          <c:orientation val="minMax"/>
          <c:max val="8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y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322679"/>
        <c:crossesAt val="-100"/>
        <c:crossBetween val="midCat"/>
        <c:dispUnits/>
        <c:majorUnit val="20"/>
      </c:valAx>
      <c:valAx>
        <c:axId val="28322679"/>
        <c:scaling>
          <c:orientation val="minMax"/>
          <c:max val="0.05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z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973126"/>
        <c:crossesAt val="-100"/>
        <c:crossBetween val="midCat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Lower side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3325"/>
          <c:w val="0.92325"/>
          <c:h val="0.78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LoFacingFrame!$B$5:$B$29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LoFacingFrame!$C$5:$C$29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LoFacingFrame!$B$31:$B$55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LoFacingFrame!$C$31:$C$55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LoFacingFrame!$B$61:$B$68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LoFacingFrame!$C$61:$C$68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LoFacingFrame!$B$74:$B$79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LoFacingFrame!$C$74:$C$79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LoFacingFrame!$B$57:$B$59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LoFacingFrame!$C$57:$C$59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LoFacingFrame!$B$80:$B$82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LoFacingFrame!$C$80:$C$82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56451340"/>
        <c:axId val="38300013"/>
      </c:scatterChart>
      <c:valAx>
        <c:axId val="56451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Helv"/>
                    <a:ea typeface="Helv"/>
                    <a:cs typeface="Helv"/>
                  </a:rPr>
                  <a:t>x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300013"/>
        <c:crosses val="autoZero"/>
        <c:crossBetween val="midCat"/>
        <c:dispUnits/>
      </c:valAx>
      <c:valAx>
        <c:axId val="38300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Helv"/>
                    <a:ea typeface="Helv"/>
                    <a:cs typeface="Helv"/>
                  </a:rPr>
                  <a:t>y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4513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Upper side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1335"/>
          <c:w val="0.92325"/>
          <c:h val="0.78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LoFacingFrame!$E$5:$E$29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LoFacingFrame!$F$5:$F$29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LoFacingFrame!$E$31:$E$55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LoFacingFrame!$F$31:$F$55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LoFacingFrame!$E$61:$E$66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LoFacingFrame!$F$61:$F$66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LoFacingFrame!$E$74:$E$79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LoFacingFrame!$F$74:$F$79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LoFacingFrame!$E$57:$E$59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LoFacingFrame!$F$57:$F$59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LoFacingFrame!$E$80:$E$82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LoFacingFrame!$F$80:$F$82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</c:ser>
        <c:axId val="9155798"/>
        <c:axId val="15293319"/>
      </c:scatterChart>
      <c:valAx>
        <c:axId val="9155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Helv"/>
                    <a:ea typeface="Helv"/>
                    <a:cs typeface="Helv"/>
                  </a:rPr>
                  <a:t>x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293319"/>
        <c:crosses val="autoZero"/>
        <c:crossBetween val="midCat"/>
        <c:dispUnits/>
      </c:valAx>
      <c:valAx>
        <c:axId val="15293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Helv"/>
                    <a:ea typeface="Helv"/>
                    <a:cs typeface="Helv"/>
                  </a:rPr>
                  <a:t>y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1557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Mid plane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3375"/>
          <c:w val="0.73375"/>
          <c:h val="0.75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MidThickView!$B$3</c:f>
              <c:strCache>
                <c:ptCount val="1"/>
                <c:pt idx="0">
                  <c:v>-30.8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MidThickView!$A$4:$A$13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MidThickView!$B$4:$B$13</c:f>
              <c:numCache>
                <c:ptCount val="10"/>
                <c:pt idx="0">
                  <c:v>0.4395</c:v>
                </c:pt>
                <c:pt idx="1">
                  <c:v>0.443</c:v>
                </c:pt>
                <c:pt idx="2">
                  <c:v>0.4455</c:v>
                </c:pt>
                <c:pt idx="3">
                  <c:v>0.448</c:v>
                </c:pt>
                <c:pt idx="4">
                  <c:v>0.4505</c:v>
                </c:pt>
                <c:pt idx="5">
                  <c:v>0.46549999999999997</c:v>
                </c:pt>
                <c:pt idx="6">
                  <c:v>0.46725</c:v>
                </c:pt>
                <c:pt idx="7">
                  <c:v>0.46900000000000003</c:v>
                </c:pt>
                <c:pt idx="8">
                  <c:v>0.4744999999999999</c:v>
                </c:pt>
                <c:pt idx="9">
                  <c:v>0.488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MidThickView!$C$3</c:f>
              <c:strCache>
                <c:ptCount val="1"/>
                <c:pt idx="0">
                  <c:v>-15.4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MidThickView!$A$4:$A$13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MidThickView!$C$4:$C$13</c:f>
              <c:numCache>
                <c:ptCount val="10"/>
                <c:pt idx="0">
                  <c:v>0.4325</c:v>
                </c:pt>
                <c:pt idx="1">
                  <c:v>0.4335</c:v>
                </c:pt>
                <c:pt idx="2">
                  <c:v>0.4405</c:v>
                </c:pt>
                <c:pt idx="3">
                  <c:v>0.4405</c:v>
                </c:pt>
                <c:pt idx="4">
                  <c:v>0.4455</c:v>
                </c:pt>
                <c:pt idx="5">
                  <c:v>0.447</c:v>
                </c:pt>
                <c:pt idx="6">
                  <c:v>0.4525</c:v>
                </c:pt>
                <c:pt idx="7">
                  <c:v>0.458</c:v>
                </c:pt>
                <c:pt idx="8">
                  <c:v>0.4625</c:v>
                </c:pt>
                <c:pt idx="9">
                  <c:v>0.469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MidThickView!$D$3</c:f>
              <c:strCache>
                <c:ptCount val="1"/>
                <c:pt idx="0">
                  <c:v>0.0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MidThickView!$A$4:$A$13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MidThickView!$D$4:$D$13</c:f>
              <c:numCache>
                <c:ptCount val="10"/>
                <c:pt idx="0">
                  <c:v>0.4355</c:v>
                </c:pt>
                <c:pt idx="1">
                  <c:v>0.438</c:v>
                </c:pt>
                <c:pt idx="2">
                  <c:v>0.44</c:v>
                </c:pt>
                <c:pt idx="3">
                  <c:v>0.44</c:v>
                </c:pt>
                <c:pt idx="4">
                  <c:v>0.4435</c:v>
                </c:pt>
                <c:pt idx="5">
                  <c:v>0.4435</c:v>
                </c:pt>
                <c:pt idx="6">
                  <c:v>0.44999999999999996</c:v>
                </c:pt>
                <c:pt idx="7">
                  <c:v>0.45649999999999996</c:v>
                </c:pt>
                <c:pt idx="8">
                  <c:v>0.46399999999999997</c:v>
                </c:pt>
                <c:pt idx="9">
                  <c:v>0.4725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MidThickView!$E$3</c:f>
              <c:strCache>
                <c:ptCount val="1"/>
                <c:pt idx="0">
                  <c:v>15.4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MidThickView!$A$4:$A$13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MidThickView!$E$4:$E$13</c:f>
              <c:numCache>
                <c:ptCount val="10"/>
                <c:pt idx="0">
                  <c:v>0.43699999999999994</c:v>
                </c:pt>
                <c:pt idx="1">
                  <c:v>0.4395</c:v>
                </c:pt>
                <c:pt idx="2">
                  <c:v>0.441</c:v>
                </c:pt>
                <c:pt idx="3">
                  <c:v>0.443</c:v>
                </c:pt>
                <c:pt idx="4">
                  <c:v>0.4445</c:v>
                </c:pt>
                <c:pt idx="5">
                  <c:v>0.4465</c:v>
                </c:pt>
                <c:pt idx="6">
                  <c:v>0.45199999999999996</c:v>
                </c:pt>
                <c:pt idx="7">
                  <c:v>0.45749999999999996</c:v>
                </c:pt>
                <c:pt idx="8">
                  <c:v>0.4655</c:v>
                </c:pt>
                <c:pt idx="9">
                  <c:v>0.4725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MidThickView!$F$3</c:f>
              <c:strCache>
                <c:ptCount val="1"/>
                <c:pt idx="0">
                  <c:v>30.8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MidThickView!$A$4:$A$13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MidThickView!$F$4:$F$13</c:f>
              <c:numCache>
                <c:ptCount val="10"/>
                <c:pt idx="0">
                  <c:v>0.4325</c:v>
                </c:pt>
                <c:pt idx="1">
                  <c:v>0.433</c:v>
                </c:pt>
                <c:pt idx="2">
                  <c:v>0.4345</c:v>
                </c:pt>
                <c:pt idx="3">
                  <c:v>0.437</c:v>
                </c:pt>
                <c:pt idx="4">
                  <c:v>0.444</c:v>
                </c:pt>
                <c:pt idx="5">
                  <c:v>0.447</c:v>
                </c:pt>
                <c:pt idx="6">
                  <c:v>0.4482499999999999</c:v>
                </c:pt>
                <c:pt idx="7">
                  <c:v>0.4495</c:v>
                </c:pt>
                <c:pt idx="8">
                  <c:v>0.4545</c:v>
                </c:pt>
                <c:pt idx="9">
                  <c:v>0.46399999999999997</c:v>
                </c:pt>
              </c:numCache>
            </c:numRef>
          </c:yVal>
          <c:smooth val="1"/>
        </c:ser>
        <c:axId val="3422144"/>
        <c:axId val="30799297"/>
      </c:scatterChart>
      <c:valAx>
        <c:axId val="3422144"/>
        <c:scaling>
          <c:orientation val="minMax"/>
          <c:max val="8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x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799297"/>
        <c:crosses val="autoZero"/>
        <c:crossBetween val="midCat"/>
        <c:dispUnits/>
        <c:majorUnit val="20"/>
      </c:valAx>
      <c:valAx>
        <c:axId val="30799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z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22144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Helv"/>
                <a:ea typeface="Helv"/>
                <a:cs typeface="Helv"/>
              </a:rPr>
              <a:t>Mid plane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3375"/>
          <c:w val="0.73375"/>
          <c:h val="0.75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MidThickView!$A$4</c:f>
              <c:strCache>
                <c:ptCount val="1"/>
                <c:pt idx="0">
                  <c:v>-61.0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MidThickView!$B$3:$F$3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MidThickView!$B$4:$F$4</c:f>
              <c:numCache>
                <c:ptCount val="5"/>
                <c:pt idx="0">
                  <c:v>0.4395</c:v>
                </c:pt>
                <c:pt idx="1">
                  <c:v>0.4325</c:v>
                </c:pt>
                <c:pt idx="2">
                  <c:v>0.4355</c:v>
                </c:pt>
                <c:pt idx="3">
                  <c:v>0.43699999999999994</c:v>
                </c:pt>
                <c:pt idx="4">
                  <c:v>0.4325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MidThickView!$A$5</c:f>
              <c:strCache>
                <c:ptCount val="1"/>
                <c:pt idx="0">
                  <c:v>-46.6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MidThickView!$B$3:$F$3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MidThickView!$B$5:$F$5</c:f>
              <c:numCache>
                <c:ptCount val="5"/>
                <c:pt idx="0">
                  <c:v>0.443</c:v>
                </c:pt>
                <c:pt idx="1">
                  <c:v>0.4335</c:v>
                </c:pt>
                <c:pt idx="2">
                  <c:v>0.438</c:v>
                </c:pt>
                <c:pt idx="3">
                  <c:v>0.4395</c:v>
                </c:pt>
                <c:pt idx="4">
                  <c:v>0.433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MidThickView!$A$6</c:f>
              <c:strCache>
                <c:ptCount val="1"/>
                <c:pt idx="0">
                  <c:v>-32.2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MidThickView!$B$3:$F$3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MidThickView!$B$6:$F$6</c:f>
              <c:numCache>
                <c:ptCount val="5"/>
                <c:pt idx="0">
                  <c:v>0.4455</c:v>
                </c:pt>
                <c:pt idx="1">
                  <c:v>0.4405</c:v>
                </c:pt>
                <c:pt idx="2">
                  <c:v>0.44</c:v>
                </c:pt>
                <c:pt idx="3">
                  <c:v>0.441</c:v>
                </c:pt>
                <c:pt idx="4">
                  <c:v>0.4345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MidThickView!$A$7</c:f>
              <c:strCache>
                <c:ptCount val="1"/>
                <c:pt idx="0">
                  <c:v>-17.8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MidThickView!$B$3:$F$3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MidThickView!$B$7:$F$7</c:f>
              <c:numCache>
                <c:ptCount val="5"/>
                <c:pt idx="0">
                  <c:v>0.448</c:v>
                </c:pt>
                <c:pt idx="1">
                  <c:v>0.4405</c:v>
                </c:pt>
                <c:pt idx="2">
                  <c:v>0.44</c:v>
                </c:pt>
                <c:pt idx="3">
                  <c:v>0.443</c:v>
                </c:pt>
                <c:pt idx="4">
                  <c:v>0.437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MidThickView!$A$8</c:f>
              <c:strCache>
                <c:ptCount val="1"/>
                <c:pt idx="0">
                  <c:v>-3.4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MidThickView!$B$3:$F$3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MidThickView!$B$8:$F$8</c:f>
              <c:numCache>
                <c:ptCount val="5"/>
                <c:pt idx="0">
                  <c:v>0.4505</c:v>
                </c:pt>
                <c:pt idx="1">
                  <c:v>0.4455</c:v>
                </c:pt>
                <c:pt idx="2">
                  <c:v>0.4435</c:v>
                </c:pt>
                <c:pt idx="3">
                  <c:v>0.4445</c:v>
                </c:pt>
                <c:pt idx="4">
                  <c:v>0.444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MidThickView!$A$9</c:f>
              <c:strCache>
                <c:ptCount val="1"/>
                <c:pt idx="0">
                  <c:v>2.1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MidThickView!$B$3:$F$3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MidThickView!$B$9:$F$9</c:f>
              <c:numCache>
                <c:ptCount val="5"/>
                <c:pt idx="0">
                  <c:v>0.46549999999999997</c:v>
                </c:pt>
                <c:pt idx="1">
                  <c:v>0.447</c:v>
                </c:pt>
                <c:pt idx="2">
                  <c:v>0.4435</c:v>
                </c:pt>
                <c:pt idx="3">
                  <c:v>0.4465</c:v>
                </c:pt>
                <c:pt idx="4">
                  <c:v>0.447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MidThickView!$A$10</c:f>
              <c:strCache>
                <c:ptCount val="1"/>
                <c:pt idx="0">
                  <c:v>17.0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MidThickView!$B$3:$F$3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MidThickView!$B$10:$F$10</c:f>
              <c:numCache>
                <c:ptCount val="5"/>
                <c:pt idx="0">
                  <c:v>0.46725</c:v>
                </c:pt>
                <c:pt idx="1">
                  <c:v>0.4525</c:v>
                </c:pt>
                <c:pt idx="2">
                  <c:v>0.44999999999999996</c:v>
                </c:pt>
                <c:pt idx="3">
                  <c:v>0.45199999999999996</c:v>
                </c:pt>
                <c:pt idx="4">
                  <c:v>0.4482499999999999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MidThickView!$A$11</c:f>
              <c:strCache>
                <c:ptCount val="1"/>
                <c:pt idx="0">
                  <c:v>31.9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MidThickView!$B$3:$F$3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MidThickView!$B$11:$F$11</c:f>
              <c:numCache>
                <c:ptCount val="5"/>
                <c:pt idx="0">
                  <c:v>0.46900000000000003</c:v>
                </c:pt>
                <c:pt idx="1">
                  <c:v>0.458</c:v>
                </c:pt>
                <c:pt idx="2">
                  <c:v>0.45649999999999996</c:v>
                </c:pt>
                <c:pt idx="3">
                  <c:v>0.45749999999999996</c:v>
                </c:pt>
                <c:pt idx="4">
                  <c:v>0.4495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MidThickView!$A$12</c:f>
              <c:strCache>
                <c:ptCount val="1"/>
                <c:pt idx="0">
                  <c:v>46.3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MidThickView!$B$3:$F$3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MidThickView!$B$12:$F$12</c:f>
              <c:numCache>
                <c:ptCount val="5"/>
                <c:pt idx="0">
                  <c:v>0.4744999999999999</c:v>
                </c:pt>
                <c:pt idx="1">
                  <c:v>0.4625</c:v>
                </c:pt>
                <c:pt idx="2">
                  <c:v>0.46399999999999997</c:v>
                </c:pt>
                <c:pt idx="3">
                  <c:v>0.4655</c:v>
                </c:pt>
                <c:pt idx="4">
                  <c:v>0.4545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MidThickView!$A$13</c:f>
              <c:strCache>
                <c:ptCount val="1"/>
                <c:pt idx="0">
                  <c:v>60.7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MidThickView!$B$3:$F$3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MidThickView!$B$13:$F$13</c:f>
              <c:numCache>
                <c:ptCount val="5"/>
                <c:pt idx="0">
                  <c:v>0.488</c:v>
                </c:pt>
                <c:pt idx="1">
                  <c:v>0.469</c:v>
                </c:pt>
                <c:pt idx="2">
                  <c:v>0.4725</c:v>
                </c:pt>
                <c:pt idx="3">
                  <c:v>0.4725</c:v>
                </c:pt>
                <c:pt idx="4">
                  <c:v>0.46399999999999997</c:v>
                </c:pt>
              </c:numCache>
            </c:numRef>
          </c:yVal>
          <c:smooth val="1"/>
        </c:ser>
        <c:axId val="8758218"/>
        <c:axId val="11715099"/>
      </c:scatterChart>
      <c:valAx>
        <c:axId val="8758218"/>
        <c:scaling>
          <c:orientation val="minMax"/>
          <c:max val="8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y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715099"/>
        <c:crosses val="autoZero"/>
        <c:crossBetween val="midCat"/>
        <c:dispUnits/>
        <c:majorUnit val="20"/>
      </c:valAx>
      <c:valAx>
        <c:axId val="11715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z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8758218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Helv"/>
                <a:ea typeface="Helv"/>
                <a:cs typeface="Helv"/>
              </a:rPr>
              <a:t>Thickness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3375"/>
          <c:w val="0.7345"/>
          <c:h val="0.75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MidThickView!$I$3</c:f>
              <c:strCache>
                <c:ptCount val="1"/>
                <c:pt idx="0">
                  <c:v>-30.8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MidThickView!$H$4:$H$13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MidThickView!$I$4:$I$13</c:f>
              <c:numCache>
                <c:ptCount val="10"/>
                <c:pt idx="0">
                  <c:v>0.9930000000000001</c:v>
                </c:pt>
                <c:pt idx="1">
                  <c:v>1.058</c:v>
                </c:pt>
                <c:pt idx="2">
                  <c:v>1.095</c:v>
                </c:pt>
                <c:pt idx="3">
                  <c:v>1.108</c:v>
                </c:pt>
                <c:pt idx="4">
                  <c:v>1.099</c:v>
                </c:pt>
                <c:pt idx="5">
                  <c:v>1.083</c:v>
                </c:pt>
                <c:pt idx="6">
                  <c:v>1.0905</c:v>
                </c:pt>
                <c:pt idx="7">
                  <c:v>1.098</c:v>
                </c:pt>
                <c:pt idx="8">
                  <c:v>1.069</c:v>
                </c:pt>
                <c:pt idx="9">
                  <c:v>1.004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MidThickView!$J$3</c:f>
              <c:strCache>
                <c:ptCount val="1"/>
                <c:pt idx="0">
                  <c:v>-15.4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MidThickView!$H$4:$H$13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MidThickView!$J$4:$J$13</c:f>
              <c:numCache>
                <c:ptCount val="10"/>
                <c:pt idx="0">
                  <c:v>0.9830000000000001</c:v>
                </c:pt>
                <c:pt idx="1">
                  <c:v>1.041</c:v>
                </c:pt>
                <c:pt idx="2">
                  <c:v>1.065</c:v>
                </c:pt>
                <c:pt idx="3">
                  <c:v>1.083</c:v>
                </c:pt>
                <c:pt idx="4">
                  <c:v>1.087</c:v>
                </c:pt>
                <c:pt idx="5">
                  <c:v>1.08</c:v>
                </c:pt>
                <c:pt idx="6">
                  <c:v>1.081</c:v>
                </c:pt>
                <c:pt idx="7">
                  <c:v>1.082</c:v>
                </c:pt>
                <c:pt idx="8">
                  <c:v>1.065</c:v>
                </c:pt>
                <c:pt idx="9">
                  <c:v>1.02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MidThickView!$K$3</c:f>
              <c:strCache>
                <c:ptCount val="1"/>
                <c:pt idx="0">
                  <c:v>0.0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MidThickView!$H$4:$H$13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MidThickView!$K$4:$K$13</c:f>
              <c:numCache>
                <c:ptCount val="10"/>
                <c:pt idx="0">
                  <c:v>0.9990000000000001</c:v>
                </c:pt>
                <c:pt idx="1">
                  <c:v>1.056</c:v>
                </c:pt>
                <c:pt idx="2">
                  <c:v>1.08</c:v>
                </c:pt>
                <c:pt idx="3">
                  <c:v>1.088</c:v>
                </c:pt>
                <c:pt idx="4">
                  <c:v>1.083</c:v>
                </c:pt>
                <c:pt idx="5">
                  <c:v>1.075</c:v>
                </c:pt>
                <c:pt idx="6">
                  <c:v>1.0819999999999999</c:v>
                </c:pt>
                <c:pt idx="7">
                  <c:v>1.089</c:v>
                </c:pt>
                <c:pt idx="8">
                  <c:v>1.0779999999999998</c:v>
                </c:pt>
                <c:pt idx="9">
                  <c:v>1.033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MidThickView!$L$3</c:f>
              <c:strCache>
                <c:ptCount val="1"/>
                <c:pt idx="0">
                  <c:v>15.4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MidThickView!$H$4:$H$13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MidThickView!$L$4:$L$13</c:f>
              <c:numCache>
                <c:ptCount val="10"/>
                <c:pt idx="0">
                  <c:v>1.004</c:v>
                </c:pt>
                <c:pt idx="1">
                  <c:v>1.059</c:v>
                </c:pt>
                <c:pt idx="2">
                  <c:v>1.078</c:v>
                </c:pt>
                <c:pt idx="3">
                  <c:v>1.096</c:v>
                </c:pt>
                <c:pt idx="4">
                  <c:v>1.089</c:v>
                </c:pt>
                <c:pt idx="5">
                  <c:v>1.071</c:v>
                </c:pt>
                <c:pt idx="6">
                  <c:v>1.081</c:v>
                </c:pt>
                <c:pt idx="7">
                  <c:v>1.091</c:v>
                </c:pt>
                <c:pt idx="8">
                  <c:v>1.081</c:v>
                </c:pt>
                <c:pt idx="9">
                  <c:v>1.031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MidThickView!$M$3</c:f>
              <c:strCache>
                <c:ptCount val="1"/>
                <c:pt idx="0">
                  <c:v>30.8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MidThickView!$H$4:$H$13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MidThickView!$M$4:$M$13</c:f>
              <c:numCache>
                <c:ptCount val="10"/>
                <c:pt idx="0">
                  <c:v>1.019</c:v>
                </c:pt>
                <c:pt idx="1">
                  <c:v>1.078</c:v>
                </c:pt>
                <c:pt idx="2">
                  <c:v>1.107</c:v>
                </c:pt>
                <c:pt idx="3">
                  <c:v>1.1179999999999999</c:v>
                </c:pt>
                <c:pt idx="4">
                  <c:v>1.11</c:v>
                </c:pt>
                <c:pt idx="5">
                  <c:v>1.09</c:v>
                </c:pt>
                <c:pt idx="6">
                  <c:v>1.1055</c:v>
                </c:pt>
                <c:pt idx="7">
                  <c:v>1.121</c:v>
                </c:pt>
                <c:pt idx="8">
                  <c:v>1.103</c:v>
                </c:pt>
                <c:pt idx="9">
                  <c:v>1.052</c:v>
                </c:pt>
              </c:numCache>
            </c:numRef>
          </c:yVal>
          <c:smooth val="1"/>
        </c:ser>
        <c:axId val="38327028"/>
        <c:axId val="9398933"/>
      </c:scatterChart>
      <c:valAx>
        <c:axId val="38327028"/>
        <c:scaling>
          <c:orientation val="minMax"/>
          <c:max val="8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x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398933"/>
        <c:crosses val="autoZero"/>
        <c:crossBetween val="midCat"/>
        <c:dispUnits/>
        <c:majorUnit val="20"/>
      </c:valAx>
      <c:valAx>
        <c:axId val="93989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z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327028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Helv"/>
                <a:ea typeface="Helv"/>
                <a:cs typeface="Helv"/>
              </a:rPr>
              <a:t>Thickness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3375"/>
          <c:w val="0.73375"/>
          <c:h val="0.75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MidThickView!$H$4</c:f>
              <c:strCache>
                <c:ptCount val="1"/>
                <c:pt idx="0">
                  <c:v>-61.0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MidThickView!$I$3:$M$3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MidThickView!$I$4:$M$4</c:f>
              <c:numCache>
                <c:ptCount val="5"/>
                <c:pt idx="0">
                  <c:v>0.9930000000000001</c:v>
                </c:pt>
                <c:pt idx="1">
                  <c:v>0.9830000000000001</c:v>
                </c:pt>
                <c:pt idx="2">
                  <c:v>0.9990000000000001</c:v>
                </c:pt>
                <c:pt idx="3">
                  <c:v>1.004</c:v>
                </c:pt>
                <c:pt idx="4">
                  <c:v>1.019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MidThickView!$H$5</c:f>
              <c:strCache>
                <c:ptCount val="1"/>
                <c:pt idx="0">
                  <c:v>-46.6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MidThickView!$I$3:$M$3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MidThickView!$I$5:$M$5</c:f>
              <c:numCache>
                <c:ptCount val="5"/>
                <c:pt idx="0">
                  <c:v>1.058</c:v>
                </c:pt>
                <c:pt idx="1">
                  <c:v>1.041</c:v>
                </c:pt>
                <c:pt idx="2">
                  <c:v>1.056</c:v>
                </c:pt>
                <c:pt idx="3">
                  <c:v>1.059</c:v>
                </c:pt>
                <c:pt idx="4">
                  <c:v>1.078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MidThickView!$H$6</c:f>
              <c:strCache>
                <c:ptCount val="1"/>
                <c:pt idx="0">
                  <c:v>-32.2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MidThickView!$I$3:$M$3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MidThickView!$I$6:$M$6</c:f>
              <c:numCache>
                <c:ptCount val="5"/>
                <c:pt idx="0">
                  <c:v>1.095</c:v>
                </c:pt>
                <c:pt idx="1">
                  <c:v>1.065</c:v>
                </c:pt>
                <c:pt idx="2">
                  <c:v>1.08</c:v>
                </c:pt>
                <c:pt idx="3">
                  <c:v>1.078</c:v>
                </c:pt>
                <c:pt idx="4">
                  <c:v>1.107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MidThickView!$H$7</c:f>
              <c:strCache>
                <c:ptCount val="1"/>
                <c:pt idx="0">
                  <c:v>-17.8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MidThickView!$I$3:$M$3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MidThickView!$I$7:$M$7</c:f>
              <c:numCache>
                <c:ptCount val="5"/>
                <c:pt idx="0">
                  <c:v>1.108</c:v>
                </c:pt>
                <c:pt idx="1">
                  <c:v>1.083</c:v>
                </c:pt>
                <c:pt idx="2">
                  <c:v>1.088</c:v>
                </c:pt>
                <c:pt idx="3">
                  <c:v>1.096</c:v>
                </c:pt>
                <c:pt idx="4">
                  <c:v>1.1179999999999999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MidThickView!$H$8</c:f>
              <c:strCache>
                <c:ptCount val="1"/>
                <c:pt idx="0">
                  <c:v>-3.4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MidThickView!$I$3:$M$3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MidThickView!$I$8:$M$8</c:f>
              <c:numCache>
                <c:ptCount val="5"/>
                <c:pt idx="0">
                  <c:v>1.099</c:v>
                </c:pt>
                <c:pt idx="1">
                  <c:v>1.087</c:v>
                </c:pt>
                <c:pt idx="2">
                  <c:v>1.083</c:v>
                </c:pt>
                <c:pt idx="3">
                  <c:v>1.089</c:v>
                </c:pt>
                <c:pt idx="4">
                  <c:v>1.11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MidThickView!$H$9</c:f>
              <c:strCache>
                <c:ptCount val="1"/>
                <c:pt idx="0">
                  <c:v>2.1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MidThickView!$I$3:$M$3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MidThickView!$I$9:$M$9</c:f>
              <c:numCache>
                <c:ptCount val="5"/>
                <c:pt idx="0">
                  <c:v>1.083</c:v>
                </c:pt>
                <c:pt idx="1">
                  <c:v>1.08</c:v>
                </c:pt>
                <c:pt idx="2">
                  <c:v>1.075</c:v>
                </c:pt>
                <c:pt idx="3">
                  <c:v>1.071</c:v>
                </c:pt>
                <c:pt idx="4">
                  <c:v>1.09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MidThickView!$H$10</c:f>
              <c:strCache>
                <c:ptCount val="1"/>
                <c:pt idx="0">
                  <c:v>17.0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MidThickView!$I$3:$M$3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MidThickView!$I$10:$M$10</c:f>
              <c:numCache>
                <c:ptCount val="5"/>
                <c:pt idx="0">
                  <c:v>1.0905</c:v>
                </c:pt>
                <c:pt idx="1">
                  <c:v>1.081</c:v>
                </c:pt>
                <c:pt idx="2">
                  <c:v>1.0819999999999999</c:v>
                </c:pt>
                <c:pt idx="3">
                  <c:v>1.081</c:v>
                </c:pt>
                <c:pt idx="4">
                  <c:v>1.1055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MidThickView!$H$11</c:f>
              <c:strCache>
                <c:ptCount val="1"/>
                <c:pt idx="0">
                  <c:v>31.9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MidThickView!$I$3:$M$3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MidThickView!$I$11:$M$11</c:f>
              <c:numCache>
                <c:ptCount val="5"/>
                <c:pt idx="0">
                  <c:v>1.098</c:v>
                </c:pt>
                <c:pt idx="1">
                  <c:v>1.082</c:v>
                </c:pt>
                <c:pt idx="2">
                  <c:v>1.089</c:v>
                </c:pt>
                <c:pt idx="3">
                  <c:v>1.091</c:v>
                </c:pt>
                <c:pt idx="4">
                  <c:v>1.121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MidThickView!$H$12</c:f>
              <c:strCache>
                <c:ptCount val="1"/>
                <c:pt idx="0">
                  <c:v>46.3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MidThickView!$I$3:$M$3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MidThickView!$I$12:$M$12</c:f>
              <c:numCache>
                <c:ptCount val="5"/>
                <c:pt idx="0">
                  <c:v>1.069</c:v>
                </c:pt>
                <c:pt idx="1">
                  <c:v>1.065</c:v>
                </c:pt>
                <c:pt idx="2">
                  <c:v>1.0779999999999998</c:v>
                </c:pt>
                <c:pt idx="3">
                  <c:v>1.081</c:v>
                </c:pt>
                <c:pt idx="4">
                  <c:v>1.103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MidThickView!$H$13</c:f>
              <c:strCache>
                <c:ptCount val="1"/>
                <c:pt idx="0">
                  <c:v>60.7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MidThickView!$I$3:$M$3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MidThickView!$I$13:$M$13</c:f>
              <c:numCache>
                <c:ptCount val="5"/>
                <c:pt idx="0">
                  <c:v>1.004</c:v>
                </c:pt>
                <c:pt idx="1">
                  <c:v>1.02</c:v>
                </c:pt>
                <c:pt idx="2">
                  <c:v>1.033</c:v>
                </c:pt>
                <c:pt idx="3">
                  <c:v>1.031</c:v>
                </c:pt>
                <c:pt idx="4">
                  <c:v>1.052</c:v>
                </c:pt>
              </c:numCache>
            </c:numRef>
          </c:yVal>
          <c:smooth val="1"/>
        </c:ser>
        <c:axId val="17481534"/>
        <c:axId val="23116079"/>
      </c:scatterChart>
      <c:valAx>
        <c:axId val="17481534"/>
        <c:scaling>
          <c:orientation val="minMax"/>
          <c:max val="8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y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116079"/>
        <c:crosses val="autoZero"/>
        <c:crossBetween val="midCat"/>
        <c:dispUnits/>
        <c:majorUnit val="20"/>
      </c:valAx>
      <c:valAx>
        <c:axId val="23116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z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481534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Helv"/>
                <a:ea typeface="Helv"/>
                <a:cs typeface="Helv"/>
              </a:rPr>
              <a:t>Lower surface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3375"/>
          <c:w val="0.73325"/>
          <c:h val="0.759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ModuleView!$B$3</c:f>
              <c:strCache>
                <c:ptCount val="1"/>
                <c:pt idx="0">
                  <c:v>1.2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ModuleView!$A$4:$A$13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ModuleView!$B$4:$B$13</c:f>
              <c:numCache>
                <c:ptCount val="10"/>
                <c:pt idx="0">
                  <c:v>-0.5036255886392229</c:v>
                </c:pt>
                <c:pt idx="1">
                  <c:v>-0.5326255886392228</c:v>
                </c:pt>
                <c:pt idx="2">
                  <c:v>-0.5486255886392228</c:v>
                </c:pt>
                <c:pt idx="3">
                  <c:v>-0.5526255886392228</c:v>
                </c:pt>
                <c:pt idx="4">
                  <c:v>-0.5456255886392228</c:v>
                </c:pt>
                <c:pt idx="5">
                  <c:v>-0.5226255886392228</c:v>
                </c:pt>
                <c:pt idx="6">
                  <c:v>-0.5246255886392228</c:v>
                </c:pt>
                <c:pt idx="7">
                  <c:v>-0.5266255886392228</c:v>
                </c:pt>
                <c:pt idx="8">
                  <c:v>-0.5066255886392228</c:v>
                </c:pt>
                <c:pt idx="9">
                  <c:v>-0.46062558863922287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ModuleView!$C$3</c:f>
              <c:strCache>
                <c:ptCount val="1"/>
                <c:pt idx="0">
                  <c:v>16.6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ModuleView!$A$4:$A$13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ModuleView!$C$4:$C$13</c:f>
              <c:numCache>
                <c:ptCount val="10"/>
                <c:pt idx="0">
                  <c:v>-0.5056255886392229</c:v>
                </c:pt>
                <c:pt idx="1">
                  <c:v>-0.5336255886392228</c:v>
                </c:pt>
                <c:pt idx="2">
                  <c:v>-0.5386255886392228</c:v>
                </c:pt>
                <c:pt idx="3">
                  <c:v>-0.5476255886392228</c:v>
                </c:pt>
                <c:pt idx="4">
                  <c:v>-0.5446255886392228</c:v>
                </c:pt>
                <c:pt idx="5">
                  <c:v>-0.5396255886392228</c:v>
                </c:pt>
                <c:pt idx="6">
                  <c:v>-0.5346255886392228</c:v>
                </c:pt>
                <c:pt idx="7">
                  <c:v>-0.5296255886392228</c:v>
                </c:pt>
                <c:pt idx="8">
                  <c:v>-0.5166255886392228</c:v>
                </c:pt>
                <c:pt idx="9">
                  <c:v>-0.48762558863922284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ModuleView!$D$3</c:f>
              <c:strCache>
                <c:ptCount val="1"/>
                <c:pt idx="0">
                  <c:v>32.0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ModuleView!$A$4:$A$13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ModuleView!$D$4:$D$13</c:f>
              <c:numCache>
                <c:ptCount val="10"/>
                <c:pt idx="0">
                  <c:v>-0.5106255886392228</c:v>
                </c:pt>
                <c:pt idx="1">
                  <c:v>-0.5366255886392228</c:v>
                </c:pt>
                <c:pt idx="2">
                  <c:v>-0.5466255886392228</c:v>
                </c:pt>
                <c:pt idx="3">
                  <c:v>-0.5506255886392228</c:v>
                </c:pt>
                <c:pt idx="4">
                  <c:v>-0.5446255886392228</c:v>
                </c:pt>
                <c:pt idx="5">
                  <c:v>-0.5406255886392228</c:v>
                </c:pt>
                <c:pt idx="6">
                  <c:v>-0.5376255886392228</c:v>
                </c:pt>
                <c:pt idx="7">
                  <c:v>-0.5346255886392228</c:v>
                </c:pt>
                <c:pt idx="8">
                  <c:v>-0.5216255886392228</c:v>
                </c:pt>
                <c:pt idx="9">
                  <c:v>-0.49062558863922284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ModuleView!$E$3</c:f>
              <c:strCache>
                <c:ptCount val="1"/>
                <c:pt idx="0">
                  <c:v>47.4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ModuleView!$A$4:$A$13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ModuleView!$E$4:$E$13</c:f>
              <c:numCache>
                <c:ptCount val="10"/>
                <c:pt idx="0">
                  <c:v>-0.5116255886392229</c:v>
                </c:pt>
                <c:pt idx="1">
                  <c:v>-0.5366255886392228</c:v>
                </c:pt>
                <c:pt idx="2">
                  <c:v>-0.5446255886392228</c:v>
                </c:pt>
                <c:pt idx="3">
                  <c:v>-0.5516255886392228</c:v>
                </c:pt>
                <c:pt idx="4">
                  <c:v>-0.5466255886392228</c:v>
                </c:pt>
                <c:pt idx="5">
                  <c:v>-0.5356255886392228</c:v>
                </c:pt>
                <c:pt idx="6">
                  <c:v>-0.5351255886392229</c:v>
                </c:pt>
                <c:pt idx="7">
                  <c:v>-0.5346255886392228</c:v>
                </c:pt>
                <c:pt idx="8">
                  <c:v>-0.5216255886392228</c:v>
                </c:pt>
                <c:pt idx="9">
                  <c:v>-0.48962558863922284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ModuleView!$F$3</c:f>
              <c:strCache>
                <c:ptCount val="1"/>
                <c:pt idx="0">
                  <c:v>62.8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ModuleView!$A$4:$A$13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ModuleView!$F$4:$F$13</c:f>
              <c:numCache>
                <c:ptCount val="10"/>
                <c:pt idx="0">
                  <c:v>-0.5236255886392228</c:v>
                </c:pt>
                <c:pt idx="1">
                  <c:v>-0.5526255886392228</c:v>
                </c:pt>
                <c:pt idx="2">
                  <c:v>-0.5656255886392229</c:v>
                </c:pt>
                <c:pt idx="3">
                  <c:v>-0.5686255886392229</c:v>
                </c:pt>
                <c:pt idx="4">
                  <c:v>-0.5576255886392228</c:v>
                </c:pt>
                <c:pt idx="5">
                  <c:v>-0.5446255886392228</c:v>
                </c:pt>
                <c:pt idx="6">
                  <c:v>-0.5511255886392229</c:v>
                </c:pt>
                <c:pt idx="7">
                  <c:v>-0.5576255886392228</c:v>
                </c:pt>
                <c:pt idx="8">
                  <c:v>-0.5436255886392228</c:v>
                </c:pt>
                <c:pt idx="9">
                  <c:v>-0.5086255886392228</c:v>
                </c:pt>
              </c:numCache>
            </c:numRef>
          </c:yVal>
          <c:smooth val="1"/>
        </c:ser>
        <c:axId val="6718120"/>
        <c:axId val="60463081"/>
      </c:scatterChart>
      <c:valAx>
        <c:axId val="6718120"/>
        <c:scaling>
          <c:orientation val="minMax"/>
          <c:max val="80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x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463081"/>
        <c:crossesAt val="-99999"/>
        <c:crossBetween val="midCat"/>
        <c:dispUnits/>
        <c:majorUnit val="20"/>
      </c:valAx>
      <c:valAx>
        <c:axId val="60463081"/>
        <c:scaling>
          <c:orientation val="minMax"/>
          <c:max val="-0.4"/>
          <c:min val="-0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Helv"/>
                    <a:ea typeface="Helv"/>
                    <a:cs typeface="Helv"/>
                  </a:rPr>
                  <a:t>z [mm]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718120"/>
        <c:crossesAt val="-100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314325</xdr:colOff>
      <xdr:row>0</xdr:row>
      <xdr:rowOff>28575</xdr:rowOff>
    </xdr:from>
    <xdr:to>
      <xdr:col>14</xdr:col>
      <xdr:colOff>409575</xdr:colOff>
      <xdr:row>28</xdr:row>
      <xdr:rowOff>95250</xdr:rowOff>
    </xdr:to>
    <xdr:graphicFrame>
      <xdr:nvGraphicFramePr>
        <xdr:cNvPr id="1" name="Chart 7"/>
        <xdr:cNvGraphicFramePr/>
      </xdr:nvGraphicFramePr>
      <xdr:xfrm>
        <a:off x="5114925" y="28575"/>
        <a:ext cx="64960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314325</xdr:colOff>
      <xdr:row>28</xdr:row>
      <xdr:rowOff>85725</xdr:rowOff>
    </xdr:from>
    <xdr:to>
      <xdr:col>14</xdr:col>
      <xdr:colOff>409575</xdr:colOff>
      <xdr:row>57</xdr:row>
      <xdr:rowOff>0</xdr:rowOff>
    </xdr:to>
    <xdr:graphicFrame>
      <xdr:nvGraphicFramePr>
        <xdr:cNvPr id="2" name="Chart 8"/>
        <xdr:cNvGraphicFramePr/>
      </xdr:nvGraphicFramePr>
      <xdr:xfrm>
        <a:off x="5114925" y="4352925"/>
        <a:ext cx="64960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28</xdr:row>
      <xdr:rowOff>95250</xdr:rowOff>
    </xdr:from>
    <xdr:to>
      <xdr:col>14</xdr:col>
      <xdr:colOff>752475</xdr:colOff>
      <xdr:row>57</xdr:row>
      <xdr:rowOff>28575</xdr:rowOff>
    </xdr:to>
    <xdr:graphicFrame>
      <xdr:nvGraphicFramePr>
        <xdr:cNvPr id="1" name="Chart 1"/>
        <xdr:cNvGraphicFramePr/>
      </xdr:nvGraphicFramePr>
      <xdr:xfrm>
        <a:off x="6448425" y="3848100"/>
        <a:ext cx="64960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0</xdr:row>
      <xdr:rowOff>38100</xdr:rowOff>
    </xdr:from>
    <xdr:to>
      <xdr:col>14</xdr:col>
      <xdr:colOff>752475</xdr:colOff>
      <xdr:row>28</xdr:row>
      <xdr:rowOff>95250</xdr:rowOff>
    </xdr:to>
    <xdr:graphicFrame>
      <xdr:nvGraphicFramePr>
        <xdr:cNvPr id="2" name="Chart 2"/>
        <xdr:cNvGraphicFramePr/>
      </xdr:nvGraphicFramePr>
      <xdr:xfrm>
        <a:off x="6448425" y="38100"/>
        <a:ext cx="64960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14</xdr:row>
      <xdr:rowOff>9525</xdr:rowOff>
    </xdr:from>
    <xdr:to>
      <xdr:col>6</xdr:col>
      <xdr:colOff>266700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409575" y="1895475"/>
        <a:ext cx="47244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33</xdr:row>
      <xdr:rowOff>66675</xdr:rowOff>
    </xdr:from>
    <xdr:to>
      <xdr:col>6</xdr:col>
      <xdr:colOff>266700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409575" y="4848225"/>
        <a:ext cx="47244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266700</xdr:colOff>
      <xdr:row>14</xdr:row>
      <xdr:rowOff>9525</xdr:rowOff>
    </xdr:from>
    <xdr:to>
      <xdr:col>12</xdr:col>
      <xdr:colOff>190500</xdr:colOff>
      <xdr:row>33</xdr:row>
      <xdr:rowOff>66675</xdr:rowOff>
    </xdr:to>
    <xdr:graphicFrame>
      <xdr:nvGraphicFramePr>
        <xdr:cNvPr id="3" name="Chart 3"/>
        <xdr:cNvGraphicFramePr/>
      </xdr:nvGraphicFramePr>
      <xdr:xfrm>
        <a:off x="5133975" y="1895475"/>
        <a:ext cx="4724400" cy="2952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266700</xdr:colOff>
      <xdr:row>33</xdr:row>
      <xdr:rowOff>66675</xdr:rowOff>
    </xdr:from>
    <xdr:to>
      <xdr:col>12</xdr:col>
      <xdr:colOff>190500</xdr:colOff>
      <xdr:row>52</xdr:row>
      <xdr:rowOff>123825</xdr:rowOff>
    </xdr:to>
    <xdr:graphicFrame>
      <xdr:nvGraphicFramePr>
        <xdr:cNvPr id="4" name="Chart 4"/>
        <xdr:cNvGraphicFramePr/>
      </xdr:nvGraphicFramePr>
      <xdr:xfrm>
        <a:off x="5133975" y="4848225"/>
        <a:ext cx="4724400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400050</xdr:colOff>
      <xdr:row>33</xdr:row>
      <xdr:rowOff>95250</xdr:rowOff>
    </xdr:from>
    <xdr:to>
      <xdr:col>6</xdr:col>
      <xdr:colOff>257175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400050" y="5124450"/>
        <a:ext cx="47244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247650</xdr:colOff>
      <xdr:row>33</xdr:row>
      <xdr:rowOff>95250</xdr:rowOff>
    </xdr:from>
    <xdr:to>
      <xdr:col>12</xdr:col>
      <xdr:colOff>152400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5114925" y="5124450"/>
        <a:ext cx="47053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409575</xdr:colOff>
      <xdr:row>14</xdr:row>
      <xdr:rowOff>47625</xdr:rowOff>
    </xdr:from>
    <xdr:to>
      <xdr:col>6</xdr:col>
      <xdr:colOff>266700</xdr:colOff>
      <xdr:row>33</xdr:row>
      <xdr:rowOff>95250</xdr:rowOff>
    </xdr:to>
    <xdr:graphicFrame>
      <xdr:nvGraphicFramePr>
        <xdr:cNvPr id="3" name="Chart 3"/>
        <xdr:cNvGraphicFramePr/>
      </xdr:nvGraphicFramePr>
      <xdr:xfrm>
        <a:off x="409575" y="2181225"/>
        <a:ext cx="472440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6</xdr:col>
      <xdr:colOff>247650</xdr:colOff>
      <xdr:row>14</xdr:row>
      <xdr:rowOff>47625</xdr:rowOff>
    </xdr:from>
    <xdr:to>
      <xdr:col>12</xdr:col>
      <xdr:colOff>152400</xdr:colOff>
      <xdr:row>33</xdr:row>
      <xdr:rowOff>95250</xdr:rowOff>
    </xdr:to>
    <xdr:graphicFrame>
      <xdr:nvGraphicFramePr>
        <xdr:cNvPr id="4" name="Chart 4"/>
        <xdr:cNvGraphicFramePr/>
      </xdr:nvGraphicFramePr>
      <xdr:xfrm>
        <a:off x="5114925" y="2181225"/>
        <a:ext cx="470535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523875</xdr:colOff>
      <xdr:row>33</xdr:row>
      <xdr:rowOff>95250</xdr:rowOff>
    </xdr:from>
    <xdr:to>
      <xdr:col>6</xdr:col>
      <xdr:colOff>381000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523875" y="5124450"/>
        <a:ext cx="47244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381000</xdr:colOff>
      <xdr:row>33</xdr:row>
      <xdr:rowOff>95250</xdr:rowOff>
    </xdr:from>
    <xdr:to>
      <xdr:col>12</xdr:col>
      <xdr:colOff>285750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5248275" y="5124450"/>
        <a:ext cx="47053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523875</xdr:colOff>
      <xdr:row>14</xdr:row>
      <xdr:rowOff>47625</xdr:rowOff>
    </xdr:from>
    <xdr:to>
      <xdr:col>6</xdr:col>
      <xdr:colOff>381000</xdr:colOff>
      <xdr:row>33</xdr:row>
      <xdr:rowOff>95250</xdr:rowOff>
    </xdr:to>
    <xdr:graphicFrame>
      <xdr:nvGraphicFramePr>
        <xdr:cNvPr id="3" name="Chart 3"/>
        <xdr:cNvGraphicFramePr/>
      </xdr:nvGraphicFramePr>
      <xdr:xfrm>
        <a:off x="523875" y="2181225"/>
        <a:ext cx="472440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381000</xdr:colOff>
      <xdr:row>14</xdr:row>
      <xdr:rowOff>47625</xdr:rowOff>
    </xdr:from>
    <xdr:to>
      <xdr:col>12</xdr:col>
      <xdr:colOff>285750</xdr:colOff>
      <xdr:row>33</xdr:row>
      <xdr:rowOff>95250</xdr:rowOff>
    </xdr:to>
    <xdr:graphicFrame>
      <xdr:nvGraphicFramePr>
        <xdr:cNvPr id="4" name="Chart 4"/>
        <xdr:cNvGraphicFramePr/>
      </xdr:nvGraphicFramePr>
      <xdr:xfrm>
        <a:off x="5248275" y="2181225"/>
        <a:ext cx="470535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514350</xdr:colOff>
      <xdr:row>33</xdr:row>
      <xdr:rowOff>57150</xdr:rowOff>
    </xdr:from>
    <xdr:to>
      <xdr:col>6</xdr:col>
      <xdr:colOff>352425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514350" y="5086350"/>
        <a:ext cx="47053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333375</xdr:colOff>
      <xdr:row>33</xdr:row>
      <xdr:rowOff>57150</xdr:rowOff>
    </xdr:from>
    <xdr:to>
      <xdr:col>12</xdr:col>
      <xdr:colOff>257175</xdr:colOff>
      <xdr:row>52</xdr:row>
      <xdr:rowOff>104775</xdr:rowOff>
    </xdr:to>
    <xdr:graphicFrame>
      <xdr:nvGraphicFramePr>
        <xdr:cNvPr id="2" name="Chart 2"/>
        <xdr:cNvGraphicFramePr/>
      </xdr:nvGraphicFramePr>
      <xdr:xfrm>
        <a:off x="5200650" y="5086350"/>
        <a:ext cx="472440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514350</xdr:colOff>
      <xdr:row>14</xdr:row>
      <xdr:rowOff>57150</xdr:rowOff>
    </xdr:from>
    <xdr:to>
      <xdr:col>6</xdr:col>
      <xdr:colOff>352425</xdr:colOff>
      <xdr:row>33</xdr:row>
      <xdr:rowOff>104775</xdr:rowOff>
    </xdr:to>
    <xdr:graphicFrame>
      <xdr:nvGraphicFramePr>
        <xdr:cNvPr id="3" name="Chart 3"/>
        <xdr:cNvGraphicFramePr/>
      </xdr:nvGraphicFramePr>
      <xdr:xfrm>
        <a:off x="514350" y="2190750"/>
        <a:ext cx="470535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6</xdr:col>
      <xdr:colOff>333375</xdr:colOff>
      <xdr:row>14</xdr:row>
      <xdr:rowOff>57150</xdr:rowOff>
    </xdr:from>
    <xdr:to>
      <xdr:col>12</xdr:col>
      <xdr:colOff>257175</xdr:colOff>
      <xdr:row>33</xdr:row>
      <xdr:rowOff>104775</xdr:rowOff>
    </xdr:to>
    <xdr:graphicFrame>
      <xdr:nvGraphicFramePr>
        <xdr:cNvPr id="4" name="Chart 4"/>
        <xdr:cNvGraphicFramePr/>
      </xdr:nvGraphicFramePr>
      <xdr:xfrm>
        <a:off x="5200650" y="2190750"/>
        <a:ext cx="472440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47625</xdr:rowOff>
    </xdr:from>
    <xdr:to>
      <xdr:col>6</xdr:col>
      <xdr:colOff>266700</xdr:colOff>
      <xdr:row>52</xdr:row>
      <xdr:rowOff>95250</xdr:rowOff>
    </xdr:to>
    <xdr:graphicFrame>
      <xdr:nvGraphicFramePr>
        <xdr:cNvPr id="1" name="Chart 1"/>
        <xdr:cNvGraphicFramePr/>
      </xdr:nvGraphicFramePr>
      <xdr:xfrm>
        <a:off x="409575" y="4829175"/>
        <a:ext cx="47244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247650</xdr:colOff>
      <xdr:row>33</xdr:row>
      <xdr:rowOff>47625</xdr:rowOff>
    </xdr:from>
    <xdr:to>
      <xdr:col>12</xdr:col>
      <xdr:colOff>152400</xdr:colOff>
      <xdr:row>52</xdr:row>
      <xdr:rowOff>95250</xdr:rowOff>
    </xdr:to>
    <xdr:graphicFrame>
      <xdr:nvGraphicFramePr>
        <xdr:cNvPr id="2" name="Chart 2"/>
        <xdr:cNvGraphicFramePr/>
      </xdr:nvGraphicFramePr>
      <xdr:xfrm>
        <a:off x="5114925" y="4829175"/>
        <a:ext cx="4705350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409575</xdr:colOff>
      <xdr:row>14</xdr:row>
      <xdr:rowOff>47625</xdr:rowOff>
    </xdr:from>
    <xdr:to>
      <xdr:col>6</xdr:col>
      <xdr:colOff>266700</xdr:colOff>
      <xdr:row>33</xdr:row>
      <xdr:rowOff>95250</xdr:rowOff>
    </xdr:to>
    <xdr:graphicFrame>
      <xdr:nvGraphicFramePr>
        <xdr:cNvPr id="3" name="Chart 3"/>
        <xdr:cNvGraphicFramePr/>
      </xdr:nvGraphicFramePr>
      <xdr:xfrm>
        <a:off x="409575" y="1933575"/>
        <a:ext cx="472440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247650</xdr:colOff>
      <xdr:row>14</xdr:row>
      <xdr:rowOff>47625</xdr:rowOff>
    </xdr:from>
    <xdr:to>
      <xdr:col>12</xdr:col>
      <xdr:colOff>152400</xdr:colOff>
      <xdr:row>33</xdr:row>
      <xdr:rowOff>95250</xdr:rowOff>
    </xdr:to>
    <xdr:graphicFrame>
      <xdr:nvGraphicFramePr>
        <xdr:cNvPr id="4" name="Chart 4"/>
        <xdr:cNvGraphicFramePr/>
      </xdr:nvGraphicFramePr>
      <xdr:xfrm>
        <a:off x="5114925" y="1933575"/>
        <a:ext cx="470535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33</xdr:row>
      <xdr:rowOff>95250</xdr:rowOff>
    </xdr:from>
    <xdr:to>
      <xdr:col>6</xdr:col>
      <xdr:colOff>381000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523875" y="4876800"/>
        <a:ext cx="47244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342900</xdr:colOff>
      <xdr:row>33</xdr:row>
      <xdr:rowOff>95250</xdr:rowOff>
    </xdr:from>
    <xdr:to>
      <xdr:col>12</xdr:col>
      <xdr:colOff>266700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5210175" y="4876800"/>
        <a:ext cx="472440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523875</xdr:colOff>
      <xdr:row>14</xdr:row>
      <xdr:rowOff>47625</xdr:rowOff>
    </xdr:from>
    <xdr:to>
      <xdr:col>6</xdr:col>
      <xdr:colOff>381000</xdr:colOff>
      <xdr:row>33</xdr:row>
      <xdr:rowOff>95250</xdr:rowOff>
    </xdr:to>
    <xdr:graphicFrame>
      <xdr:nvGraphicFramePr>
        <xdr:cNvPr id="3" name="Chart 3"/>
        <xdr:cNvGraphicFramePr/>
      </xdr:nvGraphicFramePr>
      <xdr:xfrm>
        <a:off x="523875" y="1933575"/>
        <a:ext cx="4724400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342900</xdr:colOff>
      <xdr:row>14</xdr:row>
      <xdr:rowOff>47625</xdr:rowOff>
    </xdr:from>
    <xdr:to>
      <xdr:col>12</xdr:col>
      <xdr:colOff>266700</xdr:colOff>
      <xdr:row>33</xdr:row>
      <xdr:rowOff>95250</xdr:rowOff>
    </xdr:to>
    <xdr:graphicFrame>
      <xdr:nvGraphicFramePr>
        <xdr:cNvPr id="4" name="Chart 4"/>
        <xdr:cNvGraphicFramePr/>
      </xdr:nvGraphicFramePr>
      <xdr:xfrm>
        <a:off x="5210175" y="1933575"/>
        <a:ext cx="472440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etrology\data\20220330200009\Copy%20of%20TemplateProfile.V.2.3.1.KEKSha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RAL.Data.Top"/>
      <sheetName val="RAL.Data.Bot"/>
      <sheetName val="RawDataInput"/>
      <sheetName val="MeasuredPointView"/>
      <sheetName val="RawData5x5Input"/>
      <sheetName val="StageFrame"/>
      <sheetName val="LocalFrame"/>
      <sheetName val="GlobalFrame"/>
      <sheetName val="LoFacingFrame"/>
      <sheetName val="LoCoolingFacing"/>
      <sheetName val="MidplaneThickness"/>
      <sheetName val="MidThickView"/>
      <sheetName val="ModuleFrame"/>
      <sheetName val="ModuleView"/>
      <sheetName val="Transformations"/>
      <sheetName val="MidplaneFrame"/>
      <sheetName val="MidplaneFrameView"/>
      <sheetName val="OptimalFrame"/>
      <sheetName val="OptimalFrameView"/>
      <sheetName val="CommonProfile"/>
      <sheetName val="CommonProfileView"/>
      <sheetName val="CommonDeviations"/>
      <sheetName val="CommonDeviationsView"/>
      <sheetName val="Tolerances"/>
      <sheetName val="Datasheet"/>
    </sheetNames>
    <sheetDataSet>
      <sheetData sheetId="16">
        <row r="5">
          <cell r="A5">
            <v>1</v>
          </cell>
        </row>
        <row r="6">
          <cell r="A6">
            <v>2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 t="str">
            <v>RightSensor</v>
          </cell>
          <cell r="B30" t="str">
            <v>x</v>
          </cell>
          <cell r="C30" t="str">
            <v>y</v>
          </cell>
          <cell r="D30" t="str">
            <v>z</v>
          </cell>
          <cell r="E30" t="str">
            <v>x</v>
          </cell>
          <cell r="F30" t="str">
            <v>y</v>
          </cell>
          <cell r="G30" t="str">
            <v>z</v>
          </cell>
        </row>
        <row r="31">
          <cell r="A31">
            <v>1</v>
          </cell>
        </row>
        <row r="32">
          <cell r="A32">
            <v>2</v>
          </cell>
        </row>
        <row r="33">
          <cell r="A33">
            <v>3</v>
          </cell>
        </row>
        <row r="34">
          <cell r="A34">
            <v>4</v>
          </cell>
        </row>
        <row r="35">
          <cell r="A35">
            <v>5</v>
          </cell>
        </row>
        <row r="36">
          <cell r="A36">
            <v>6</v>
          </cell>
        </row>
        <row r="37">
          <cell r="A37">
            <v>7</v>
          </cell>
        </row>
        <row r="38">
          <cell r="A38">
            <v>8</v>
          </cell>
        </row>
        <row r="39">
          <cell r="A39">
            <v>9</v>
          </cell>
        </row>
        <row r="40">
          <cell r="A40">
            <v>10</v>
          </cell>
        </row>
        <row r="41">
          <cell r="A41">
            <v>11</v>
          </cell>
        </row>
        <row r="42">
          <cell r="A42">
            <v>12</v>
          </cell>
        </row>
        <row r="43">
          <cell r="A43">
            <v>13</v>
          </cell>
        </row>
        <row r="44">
          <cell r="A44">
            <v>14</v>
          </cell>
        </row>
        <row r="45">
          <cell r="A45">
            <v>15</v>
          </cell>
        </row>
        <row r="46">
          <cell r="A46">
            <v>16</v>
          </cell>
        </row>
        <row r="47">
          <cell r="A47">
            <v>17</v>
          </cell>
        </row>
        <row r="48">
          <cell r="A48">
            <v>18</v>
          </cell>
        </row>
        <row r="49">
          <cell r="A49">
            <v>19</v>
          </cell>
        </row>
        <row r="50">
          <cell r="A50">
            <v>20</v>
          </cell>
        </row>
        <row r="51">
          <cell r="A51">
            <v>21</v>
          </cell>
        </row>
        <row r="52">
          <cell r="A52">
            <v>22</v>
          </cell>
        </row>
        <row r="53">
          <cell r="A53">
            <v>23</v>
          </cell>
        </row>
        <row r="54">
          <cell r="A54">
            <v>24</v>
          </cell>
        </row>
        <row r="55">
          <cell r="A55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workbookViewId="0" topLeftCell="A18">
      <selection activeCell="D37" sqref="D37"/>
    </sheetView>
  </sheetViews>
  <sheetFormatPr defaultColWidth="9.140625" defaultRowHeight="12"/>
  <cols>
    <col min="1" max="1" width="26.28125" style="32" customWidth="1"/>
    <col min="2" max="2" width="12.140625" style="32" customWidth="1"/>
    <col min="3" max="16384" width="11.00390625" style="32" customWidth="1"/>
  </cols>
  <sheetData>
    <row r="1" ht="10.5">
      <c r="A1" s="32" t="s">
        <v>0</v>
      </c>
    </row>
    <row r="2" spans="1:2" ht="10.5">
      <c r="A2" s="32" t="s">
        <v>1</v>
      </c>
      <c r="B2" s="54" t="s">
        <v>2</v>
      </c>
    </row>
    <row r="3" ht="10.5">
      <c r="A3" s="33" t="s">
        <v>3</v>
      </c>
    </row>
    <row r="4" spans="1:2" ht="10.5">
      <c r="A4" s="32" t="s">
        <v>4</v>
      </c>
      <c r="B4" s="40" t="s">
        <v>5</v>
      </c>
    </row>
    <row r="5" ht="10.5">
      <c r="B5" s="32" t="s">
        <v>6</v>
      </c>
    </row>
    <row r="7" spans="1:9" ht="10.5">
      <c r="A7" s="33" t="s">
        <v>7</v>
      </c>
      <c r="B7" s="33" t="s">
        <v>8</v>
      </c>
      <c r="C7" s="33"/>
      <c r="D7" s="33"/>
      <c r="E7" s="33"/>
      <c r="F7" s="33"/>
      <c r="G7" s="33"/>
      <c r="H7" s="33"/>
      <c r="I7" s="33"/>
    </row>
    <row r="8" spans="1:3" ht="10.5">
      <c r="A8" s="34" t="s">
        <v>9</v>
      </c>
      <c r="C8" s="34" t="s">
        <v>10</v>
      </c>
    </row>
    <row r="9" spans="1:3" ht="10.5">
      <c r="A9" s="32" t="s">
        <v>11</v>
      </c>
      <c r="B9" s="32" t="s">
        <v>12</v>
      </c>
      <c r="C9" s="32" t="s">
        <v>13</v>
      </c>
    </row>
    <row r="10" ht="10.5">
      <c r="C10" s="32" t="s">
        <v>14</v>
      </c>
    </row>
    <row r="11" ht="10.5">
      <c r="C11" s="32" t="s">
        <v>15</v>
      </c>
    </row>
    <row r="12" ht="10.5">
      <c r="C12" s="32" t="s">
        <v>16</v>
      </c>
    </row>
    <row r="13" ht="10.5">
      <c r="C13" s="32" t="s">
        <v>17</v>
      </c>
    </row>
    <row r="14" ht="10.5">
      <c r="C14" s="32" t="s">
        <v>18</v>
      </c>
    </row>
    <row r="15" ht="10.5">
      <c r="C15" s="32" t="s">
        <v>19</v>
      </c>
    </row>
    <row r="16" ht="10.5">
      <c r="C16" s="32" t="s">
        <v>20</v>
      </c>
    </row>
    <row r="17" spans="1:3" ht="10.5">
      <c r="A17" s="32" t="s">
        <v>21</v>
      </c>
      <c r="B17" s="32" t="s">
        <v>22</v>
      </c>
      <c r="C17" s="32" t="s">
        <v>23</v>
      </c>
    </row>
    <row r="18" spans="1:3" ht="10.5">
      <c r="A18" s="32" t="s">
        <v>24</v>
      </c>
      <c r="B18" s="32" t="s">
        <v>25</v>
      </c>
      <c r="C18" s="32" t="s">
        <v>26</v>
      </c>
    </row>
    <row r="19" spans="1:3" ht="10.5">
      <c r="A19" s="32" t="s">
        <v>27</v>
      </c>
      <c r="B19" s="32" t="s">
        <v>28</v>
      </c>
      <c r="C19" s="32" t="s">
        <v>29</v>
      </c>
    </row>
    <row r="20" spans="1:3" ht="10.5">
      <c r="A20" s="32" t="s">
        <v>30</v>
      </c>
      <c r="B20" s="32" t="s">
        <v>31</v>
      </c>
      <c r="C20" s="32" t="s">
        <v>32</v>
      </c>
    </row>
    <row r="21" spans="1:3" ht="10.5">
      <c r="A21" s="32" t="s">
        <v>33</v>
      </c>
      <c r="B21" s="32" t="s">
        <v>25</v>
      </c>
      <c r="C21" s="32" t="s">
        <v>34</v>
      </c>
    </row>
    <row r="22" ht="10.5">
      <c r="C22" s="32" t="s">
        <v>35</v>
      </c>
    </row>
    <row r="23" ht="10.5">
      <c r="C23" s="32" t="s">
        <v>36</v>
      </c>
    </row>
    <row r="24" ht="10.5">
      <c r="C24" s="32" t="s">
        <v>37</v>
      </c>
    </row>
    <row r="25" spans="1:9" ht="10.5">
      <c r="A25" s="59" t="s">
        <v>38</v>
      </c>
      <c r="B25" s="60" t="s">
        <v>39</v>
      </c>
      <c r="C25" s="60" t="s">
        <v>40</v>
      </c>
      <c r="D25" s="60"/>
      <c r="E25" s="60"/>
      <c r="F25" s="60"/>
      <c r="G25" s="60"/>
      <c r="H25" s="60"/>
      <c r="I25" s="60"/>
    </row>
    <row r="26" spans="1:3" ht="10.5">
      <c r="A26" s="65" t="s">
        <v>41</v>
      </c>
      <c r="B26" s="66" t="s">
        <v>42</v>
      </c>
      <c r="C26" s="66" t="s">
        <v>43</v>
      </c>
    </row>
    <row r="27" spans="1:3" ht="10.5">
      <c r="A27" s="65" t="s">
        <v>44</v>
      </c>
      <c r="B27" s="66" t="s">
        <v>45</v>
      </c>
      <c r="C27" s="66" t="s">
        <v>46</v>
      </c>
    </row>
    <row r="28" spans="1:3" ht="10.5">
      <c r="A28" s="65" t="s">
        <v>47</v>
      </c>
      <c r="B28" s="66" t="s">
        <v>48</v>
      </c>
      <c r="C28" s="66" t="s">
        <v>49</v>
      </c>
    </row>
    <row r="29" spans="1:3" ht="10.5">
      <c r="A29" s="66"/>
      <c r="B29" s="66"/>
      <c r="C29" s="66" t="s">
        <v>50</v>
      </c>
    </row>
    <row r="30" spans="1:3" ht="10.5">
      <c r="A30" s="66"/>
      <c r="B30" s="66"/>
      <c r="C30" s="66" t="s">
        <v>51</v>
      </c>
    </row>
    <row r="31" spans="1:3" ht="10.5">
      <c r="A31" s="66"/>
      <c r="B31" s="66"/>
      <c r="C31" s="66" t="s">
        <v>52</v>
      </c>
    </row>
    <row r="32" spans="1:3" ht="10.5">
      <c r="A32" s="54" t="s">
        <v>2</v>
      </c>
      <c r="B32" s="58" t="s">
        <v>53</v>
      </c>
      <c r="C32" s="58" t="s">
        <v>54</v>
      </c>
    </row>
    <row r="33" spans="1:3" ht="10.5">
      <c r="A33" s="54"/>
      <c r="B33" s="58"/>
      <c r="C33" s="58" t="s">
        <v>55</v>
      </c>
    </row>
    <row r="34" spans="1:3" ht="10.5">
      <c r="A34" s="54"/>
      <c r="B34" s="58"/>
      <c r="C34" s="58" t="s">
        <v>56</v>
      </c>
    </row>
    <row r="35" spans="1:3" ht="10.5">
      <c r="A35" s="54"/>
      <c r="B35" s="58"/>
      <c r="C35" s="58" t="s">
        <v>57</v>
      </c>
    </row>
    <row r="36" spans="1:3" ht="10.5">
      <c r="A36" s="54"/>
      <c r="B36" s="58"/>
      <c r="C36" s="58"/>
    </row>
    <row r="38" spans="1:9" ht="10.5">
      <c r="A38" s="33" t="s">
        <v>58</v>
      </c>
      <c r="B38" s="33" t="s">
        <v>59</v>
      </c>
      <c r="C38" s="33"/>
      <c r="D38" s="33"/>
      <c r="E38" s="33"/>
      <c r="F38" s="33"/>
      <c r="G38" s="33"/>
      <c r="H38" s="33"/>
      <c r="I38" s="33"/>
    </row>
    <row r="39" spans="1:2" ht="10.5">
      <c r="A39" s="32" t="s">
        <v>60</v>
      </c>
      <c r="B39" s="32" t="s">
        <v>61</v>
      </c>
    </row>
    <row r="40" ht="10.5">
      <c r="B40" s="32" t="s">
        <v>62</v>
      </c>
    </row>
    <row r="41" spans="1:2" ht="10.5">
      <c r="A41" s="32" t="s">
        <v>63</v>
      </c>
      <c r="B41" s="32" t="s">
        <v>64</v>
      </c>
    </row>
    <row r="42" spans="1:2" ht="10.5">
      <c r="A42" s="32" t="s">
        <v>65</v>
      </c>
      <c r="B42" s="32" t="s">
        <v>66</v>
      </c>
    </row>
    <row r="43" spans="1:2" ht="10.5">
      <c r="A43" s="32" t="s">
        <v>67</v>
      </c>
      <c r="B43" s="32" t="s">
        <v>68</v>
      </c>
    </row>
    <row r="44" spans="1:2" ht="10.5">
      <c r="A44" s="32" t="s">
        <v>69</v>
      </c>
      <c r="B44" s="32" t="s">
        <v>70</v>
      </c>
    </row>
    <row r="45" spans="1:2" ht="10.5">
      <c r="A45" s="32" t="s">
        <v>71</v>
      </c>
      <c r="B45" s="32" t="s">
        <v>72</v>
      </c>
    </row>
    <row r="46" ht="10.5">
      <c r="B46" s="32" t="s">
        <v>73</v>
      </c>
    </row>
    <row r="47" spans="1:2" ht="10.5">
      <c r="A47" s="32" t="s">
        <v>74</v>
      </c>
      <c r="B47" s="32" t="s">
        <v>75</v>
      </c>
    </row>
    <row r="48" spans="1:2" ht="10.5">
      <c r="A48" s="32" t="s">
        <v>76</v>
      </c>
      <c r="B48" s="32" t="s">
        <v>77</v>
      </c>
    </row>
    <row r="49" spans="1:2" ht="10.5">
      <c r="A49" s="32" t="s">
        <v>78</v>
      </c>
      <c r="B49" s="32" t="s">
        <v>79</v>
      </c>
    </row>
    <row r="50" spans="1:2" ht="10.5">
      <c r="A50" s="32" t="s">
        <v>80</v>
      </c>
      <c r="B50" s="32" t="s">
        <v>81</v>
      </c>
    </row>
    <row r="51" spans="1:2" ht="10.5">
      <c r="A51" s="32" t="s">
        <v>82</v>
      </c>
      <c r="B51" s="32" t="s">
        <v>83</v>
      </c>
    </row>
    <row r="52" ht="10.5">
      <c r="A52" s="32" t="s">
        <v>84</v>
      </c>
    </row>
    <row r="53" spans="1:2" ht="10.5">
      <c r="A53" s="32" t="s">
        <v>85</v>
      </c>
      <c r="B53" s="32" t="s">
        <v>86</v>
      </c>
    </row>
    <row r="54" spans="1:2" ht="10.5">
      <c r="A54" s="32" t="s">
        <v>87</v>
      </c>
      <c r="B54" s="32" t="s">
        <v>88</v>
      </c>
    </row>
    <row r="55" ht="10.5">
      <c r="A55" s="32" t="s">
        <v>89</v>
      </c>
    </row>
    <row r="56" spans="1:2" ht="10.5">
      <c r="A56" s="32" t="s">
        <v>90</v>
      </c>
      <c r="B56" s="32" t="s">
        <v>91</v>
      </c>
    </row>
    <row r="57" spans="1:2" ht="10.5">
      <c r="A57" s="32" t="s">
        <v>92</v>
      </c>
      <c r="B57" s="32" t="s">
        <v>93</v>
      </c>
    </row>
    <row r="58" spans="1:2" ht="10.5">
      <c r="A58" s="32" t="s">
        <v>94</v>
      </c>
      <c r="B58" s="32" t="s">
        <v>95</v>
      </c>
    </row>
    <row r="59" ht="10.5">
      <c r="A59" s="32" t="s">
        <v>96</v>
      </c>
    </row>
    <row r="60" spans="1:2" ht="10.5">
      <c r="A60" s="32" t="s">
        <v>97</v>
      </c>
      <c r="B60" s="32" t="s">
        <v>98</v>
      </c>
    </row>
    <row r="61" spans="1:2" ht="10.5">
      <c r="A61" s="32" t="s">
        <v>99</v>
      </c>
      <c r="B61" s="32" t="s">
        <v>100</v>
      </c>
    </row>
    <row r="64" spans="1:8" ht="10.5">
      <c r="A64" s="33" t="s">
        <v>101</v>
      </c>
      <c r="B64" s="35" t="s">
        <v>102</v>
      </c>
      <c r="C64" s="33" t="s">
        <v>103</v>
      </c>
      <c r="D64" s="33" t="s">
        <v>59</v>
      </c>
      <c r="E64" s="33"/>
      <c r="F64" s="33"/>
      <c r="G64" s="33"/>
      <c r="H64" s="33"/>
    </row>
    <row r="65" spans="1:4" ht="10.5">
      <c r="A65" s="32" t="s">
        <v>104</v>
      </c>
      <c r="B65" s="36" t="s">
        <v>105</v>
      </c>
      <c r="C65" s="32" t="s">
        <v>106</v>
      </c>
      <c r="D65" s="32" t="s">
        <v>107</v>
      </c>
    </row>
    <row r="66" spans="1:4" ht="10.5">
      <c r="A66" s="32" t="s">
        <v>108</v>
      </c>
      <c r="B66" s="36" t="s">
        <v>105</v>
      </c>
      <c r="C66" s="32" t="s">
        <v>106</v>
      </c>
      <c r="D66" s="32" t="s">
        <v>109</v>
      </c>
    </row>
    <row r="67" spans="1:4" ht="10.5">
      <c r="A67" s="32" t="s">
        <v>110</v>
      </c>
      <c r="B67" s="36" t="s">
        <v>111</v>
      </c>
      <c r="D67" s="32" t="s">
        <v>112</v>
      </c>
    </row>
    <row r="68" spans="1:3" ht="10.5">
      <c r="A68" s="32" t="s">
        <v>113</v>
      </c>
      <c r="B68" s="36" t="s">
        <v>114</v>
      </c>
      <c r="C68" s="32" t="s">
        <v>115</v>
      </c>
    </row>
    <row r="69" spans="1:4" ht="10.5">
      <c r="A69" s="32" t="s">
        <v>116</v>
      </c>
      <c r="B69" s="36" t="s">
        <v>105</v>
      </c>
      <c r="C69" s="32" t="s">
        <v>117</v>
      </c>
      <c r="D69" s="32" t="s">
        <v>118</v>
      </c>
    </row>
    <row r="70" spans="1:4" ht="10.5">
      <c r="A70" s="32" t="s">
        <v>119</v>
      </c>
      <c r="B70" s="36" t="s">
        <v>105</v>
      </c>
      <c r="C70" s="32" t="s">
        <v>117</v>
      </c>
      <c r="D70" s="32" t="s">
        <v>120</v>
      </c>
    </row>
    <row r="71" spans="1:4" ht="10.5">
      <c r="A71" s="32" t="s">
        <v>121</v>
      </c>
      <c r="B71" s="36" t="s">
        <v>105</v>
      </c>
      <c r="C71" s="32" t="s">
        <v>122</v>
      </c>
      <c r="D71" s="32" t="s">
        <v>123</v>
      </c>
    </row>
    <row r="72" spans="1:4" ht="10.5">
      <c r="A72" s="32" t="s">
        <v>124</v>
      </c>
      <c r="B72" s="36" t="s">
        <v>105</v>
      </c>
      <c r="C72" s="32" t="s">
        <v>122</v>
      </c>
      <c r="D72" s="32" t="s">
        <v>125</v>
      </c>
    </row>
    <row r="73" spans="1:4" ht="10.5">
      <c r="A73" s="32" t="s">
        <v>126</v>
      </c>
      <c r="B73" s="36" t="s">
        <v>105</v>
      </c>
      <c r="D73" s="32" t="s">
        <v>127</v>
      </c>
    </row>
    <row r="74" spans="1:4" ht="10.5">
      <c r="A74" s="32" t="s">
        <v>128</v>
      </c>
      <c r="B74" s="36" t="s">
        <v>105</v>
      </c>
      <c r="D74" s="32" t="s">
        <v>129</v>
      </c>
    </row>
    <row r="75" spans="1:4" ht="10.5">
      <c r="A75" s="32" t="s">
        <v>130</v>
      </c>
      <c r="B75" s="36" t="s">
        <v>105</v>
      </c>
      <c r="D75" s="32" t="s">
        <v>131</v>
      </c>
    </row>
    <row r="76" spans="1:4" ht="10.5">
      <c r="A76" s="32" t="s">
        <v>128</v>
      </c>
      <c r="B76" s="36" t="s">
        <v>105</v>
      </c>
      <c r="D76" s="32" t="s">
        <v>132</v>
      </c>
    </row>
    <row r="77" spans="1:4" ht="10.5">
      <c r="A77" s="38" t="s">
        <v>133</v>
      </c>
      <c r="B77" s="36" t="s">
        <v>134</v>
      </c>
      <c r="D77" s="32" t="s">
        <v>135</v>
      </c>
    </row>
    <row r="78" spans="1:4" ht="10.5">
      <c r="A78" s="38" t="s">
        <v>136</v>
      </c>
      <c r="B78" s="36" t="s">
        <v>134</v>
      </c>
      <c r="D78" s="32" t="s">
        <v>137</v>
      </c>
    </row>
    <row r="79" spans="1:4" ht="10.5">
      <c r="A79" s="38" t="s">
        <v>138</v>
      </c>
      <c r="B79" s="39">
        <f>B77/2</f>
        <v>0.46</v>
      </c>
      <c r="D79" s="32" t="s">
        <v>139</v>
      </c>
    </row>
    <row r="80" spans="1:4" ht="10.5">
      <c r="A80" s="38" t="s">
        <v>140</v>
      </c>
      <c r="B80" s="36" t="s">
        <v>105</v>
      </c>
      <c r="D80" s="32" t="s">
        <v>141</v>
      </c>
    </row>
    <row r="81" spans="1:4" ht="10.5">
      <c r="A81" s="38" t="s">
        <v>142</v>
      </c>
      <c r="B81" s="39">
        <f>B68-2*0.285-0.42</f>
        <v>0.15999999999999998</v>
      </c>
      <c r="D81" s="32" t="s">
        <v>143</v>
      </c>
    </row>
    <row r="82" spans="1:4" ht="10.5">
      <c r="A82" s="38" t="s">
        <v>144</v>
      </c>
      <c r="B82" s="36" t="s">
        <v>105</v>
      </c>
      <c r="D82" s="32" t="s">
        <v>145</v>
      </c>
    </row>
    <row r="83" spans="1:4" ht="10.5">
      <c r="A83" s="32" t="s">
        <v>146</v>
      </c>
      <c r="B83" s="36" t="s">
        <v>105</v>
      </c>
      <c r="C83" s="32" t="s">
        <v>147</v>
      </c>
      <c r="D83" s="32" t="s">
        <v>148</v>
      </c>
    </row>
    <row r="84" spans="1:4" ht="10.5">
      <c r="A84" s="32" t="s">
        <v>149</v>
      </c>
      <c r="B84" s="36" t="s">
        <v>105</v>
      </c>
      <c r="C84" s="32" t="s">
        <v>150</v>
      </c>
      <c r="D84" s="32" t="s">
        <v>151</v>
      </c>
    </row>
    <row r="85" spans="1:4" ht="10.5">
      <c r="A85" s="32" t="s">
        <v>152</v>
      </c>
      <c r="B85" s="36" t="s">
        <v>105</v>
      </c>
      <c r="C85" s="32" t="s">
        <v>153</v>
      </c>
      <c r="D85" s="32" t="s">
        <v>154</v>
      </c>
    </row>
    <row r="86" spans="1:4" ht="10.5">
      <c r="A86" s="32" t="s">
        <v>155</v>
      </c>
      <c r="B86" s="36" t="s">
        <v>156</v>
      </c>
      <c r="C86" s="32" t="s">
        <v>157</v>
      </c>
      <c r="D86" s="32" t="s">
        <v>158</v>
      </c>
    </row>
    <row r="87" spans="1:4" ht="10.5">
      <c r="A87" s="32" t="s">
        <v>159</v>
      </c>
      <c r="B87" s="36" t="s">
        <v>156</v>
      </c>
      <c r="C87" s="32" t="s">
        <v>157</v>
      </c>
      <c r="D87" s="32" t="s">
        <v>160</v>
      </c>
    </row>
    <row r="88" spans="1:4" ht="10.5">
      <c r="A88" s="32" t="s">
        <v>161</v>
      </c>
      <c r="B88" s="36" t="s">
        <v>156</v>
      </c>
      <c r="C88" s="32" t="s">
        <v>157</v>
      </c>
      <c r="D88" s="32" t="s">
        <v>162</v>
      </c>
    </row>
    <row r="89" spans="1:4" ht="10.5">
      <c r="A89" s="32" t="s">
        <v>163</v>
      </c>
      <c r="B89" s="36" t="s">
        <v>156</v>
      </c>
      <c r="C89" s="32" t="s">
        <v>157</v>
      </c>
      <c r="D89" s="32" t="s">
        <v>164</v>
      </c>
    </row>
    <row r="90" spans="1:4" ht="10.5">
      <c r="A90" s="32" t="s">
        <v>165</v>
      </c>
      <c r="B90" s="36" t="s">
        <v>105</v>
      </c>
      <c r="C90" s="32" t="s">
        <v>166</v>
      </c>
      <c r="D90" s="32" t="s">
        <v>167</v>
      </c>
    </row>
    <row r="91" spans="1:4" ht="10.5">
      <c r="A91" s="32" t="s">
        <v>168</v>
      </c>
      <c r="B91" s="36" t="s">
        <v>105</v>
      </c>
      <c r="C91" s="32" t="s">
        <v>166</v>
      </c>
      <c r="D91" s="32" t="s">
        <v>169</v>
      </c>
    </row>
    <row r="92" spans="1:4" ht="10.5">
      <c r="A92" s="32" t="s">
        <v>170</v>
      </c>
      <c r="B92" s="36" t="s">
        <v>171</v>
      </c>
      <c r="C92" s="32" t="s">
        <v>172</v>
      </c>
      <c r="D92" s="32" t="s">
        <v>173</v>
      </c>
    </row>
    <row r="93" spans="1:4" ht="10.5">
      <c r="A93" s="32" t="s">
        <v>174</v>
      </c>
      <c r="B93" s="36" t="s">
        <v>171</v>
      </c>
      <c r="C93" s="32" t="s">
        <v>172</v>
      </c>
      <c r="D93" s="32" t="s">
        <v>175</v>
      </c>
    </row>
    <row r="94" spans="1:4" ht="10.5">
      <c r="A94" s="32" t="s">
        <v>176</v>
      </c>
      <c r="B94" s="36" t="s">
        <v>177</v>
      </c>
      <c r="C94" s="32" t="s">
        <v>178</v>
      </c>
      <c r="D94" s="32" t="s">
        <v>179</v>
      </c>
    </row>
    <row r="95" spans="1:4" ht="10.5">
      <c r="A95" s="32" t="s">
        <v>180</v>
      </c>
      <c r="B95" s="36" t="s">
        <v>177</v>
      </c>
      <c r="C95" s="32" t="s">
        <v>178</v>
      </c>
      <c r="D95" s="32" t="s">
        <v>181</v>
      </c>
    </row>
    <row r="96" spans="1:4" ht="10.5">
      <c r="A96" s="32" t="s">
        <v>182</v>
      </c>
      <c r="B96" s="36" t="s">
        <v>183</v>
      </c>
      <c r="C96" s="32" t="s">
        <v>184</v>
      </c>
      <c r="D96" s="32" t="s">
        <v>185</v>
      </c>
    </row>
    <row r="97" spans="1:4" ht="10.5">
      <c r="A97" s="32" t="s">
        <v>186</v>
      </c>
      <c r="B97" s="36" t="s">
        <v>187</v>
      </c>
      <c r="C97" s="32" t="s">
        <v>188</v>
      </c>
      <c r="D97" s="32" t="s">
        <v>189</v>
      </c>
    </row>
  </sheetData>
  <printOptions/>
  <pageMargins left="0.75" right="0.75" top="1" bottom="1" header="0.512" footer="0.512"/>
  <pageSetup fitToHeight="1" fitToWidth="1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8:P107"/>
  <sheetViews>
    <sheetView workbookViewId="0" topLeftCell="A16">
      <selection activeCell="H30" sqref="H30"/>
    </sheetView>
  </sheetViews>
  <sheetFormatPr defaultColWidth="9.140625" defaultRowHeight="12"/>
  <cols>
    <col min="1" max="1" width="3.421875" style="70" customWidth="1"/>
    <col min="2" max="2" width="7.28125" style="72" customWidth="1"/>
    <col min="3" max="3" width="7.00390625" style="72" customWidth="1"/>
    <col min="4" max="4" width="6.421875" style="72" customWidth="1"/>
    <col min="5" max="5" width="2.28125" style="72" customWidth="1"/>
    <col min="6" max="6" width="7.8515625" style="72" customWidth="1"/>
    <col min="7" max="7" width="7.28125" style="72" customWidth="1"/>
    <col min="8" max="8" width="6.421875" style="72" customWidth="1"/>
    <col min="9" max="9" width="2.140625" style="72" customWidth="1"/>
    <col min="10" max="11" width="7.421875" style="72" customWidth="1"/>
    <col min="12" max="12" width="6.421875" style="72" customWidth="1"/>
    <col min="13" max="13" width="2.140625" style="72" customWidth="1"/>
    <col min="14" max="15" width="8.00390625" style="72" customWidth="1"/>
    <col min="16" max="16" width="7.7109375" style="72" customWidth="1"/>
    <col min="17" max="16384" width="9.28125" style="72" customWidth="1"/>
  </cols>
  <sheetData>
    <row r="8" spans="1:14" s="69" customFormat="1" ht="11.25">
      <c r="A8" s="68"/>
      <c r="B8" s="69" t="s">
        <v>498</v>
      </c>
      <c r="F8" s="69" t="s">
        <v>499</v>
      </c>
      <c r="J8" s="69" t="s">
        <v>504</v>
      </c>
      <c r="N8" s="69" t="s">
        <v>505</v>
      </c>
    </row>
    <row r="10" spans="2:16" ht="10.5">
      <c r="B10" s="71">
        <f>RALRawDataTop!C14</f>
        <v>3.002</v>
      </c>
      <c r="C10" s="93">
        <f>RALRawDataTop!D14-31.5</f>
        <v>-30.799</v>
      </c>
      <c r="D10" s="94">
        <f>RALRawDataTop!E14</f>
        <v>0.927</v>
      </c>
      <c r="E10" s="92"/>
      <c r="F10" s="71">
        <f>RALRawDataTop!C19</f>
        <v>66.118</v>
      </c>
      <c r="G10" s="93">
        <f>RALRawDataTop!D19-31.5</f>
        <v>-30.799</v>
      </c>
      <c r="H10" s="94">
        <f>RALRawDataTop!E19</f>
        <v>1.018</v>
      </c>
      <c r="I10" s="92"/>
      <c r="J10" s="71">
        <f>RALRawDataBot!C50</f>
        <v>3.001</v>
      </c>
      <c r="K10" s="93">
        <f>RALRawDataBot!D50+31.5</f>
        <v>-30.799999999999997</v>
      </c>
      <c r="L10" s="94">
        <f>RALRawDataBot!E50</f>
        <v>0.136</v>
      </c>
      <c r="M10" s="92"/>
      <c r="N10" s="71">
        <f>RALRawDataBot!C55</f>
        <v>66.086</v>
      </c>
      <c r="O10" s="93">
        <f>RALRawDataBot!D55+31.5</f>
        <v>-30.799999999999997</v>
      </c>
      <c r="P10" s="94">
        <f>RALRawDataBot!E55</f>
        <v>0.096</v>
      </c>
    </row>
    <row r="11" spans="2:16" ht="10.5">
      <c r="B11" s="73">
        <f>RALRawDataTop!C15</f>
        <v>17.402</v>
      </c>
      <c r="C11" s="74">
        <f>RALRawDataTop!D15-31.5</f>
        <v>-30.8</v>
      </c>
      <c r="D11" s="75">
        <f>RALRawDataTop!E15</f>
        <v>0.971</v>
      </c>
      <c r="E11" s="92"/>
      <c r="F11" s="73">
        <f>0.5*(F10+F12)</f>
        <v>81.005</v>
      </c>
      <c r="G11" s="74">
        <f>0.5*(G10+G12)</f>
        <v>-30.7985</v>
      </c>
      <c r="H11" s="75">
        <f>0.5*(H10+H12)</f>
        <v>1.0245</v>
      </c>
      <c r="I11" s="92"/>
      <c r="J11" s="73">
        <f>RALRawDataBot!C51</f>
        <v>17.4</v>
      </c>
      <c r="K11" s="74">
        <f>RALRawDataBot!D51+31.5</f>
        <v>-30.799999999999997</v>
      </c>
      <c r="L11" s="75">
        <f>RALRawDataBot!E51</f>
        <v>0.148</v>
      </c>
      <c r="M11" s="92"/>
      <c r="N11" s="73">
        <f>0.5*(N10+N12)</f>
        <v>80.9825</v>
      </c>
      <c r="O11" s="74">
        <f>0.5*(O10+O12)</f>
        <v>-30.799999999999997</v>
      </c>
      <c r="P11" s="75">
        <f>0.5*(P10+P12)</f>
        <v>0.1005</v>
      </c>
    </row>
    <row r="12" spans="2:16" ht="10.5">
      <c r="B12" s="73">
        <f>RALRawDataTop!C16</f>
        <v>31.802</v>
      </c>
      <c r="C12" s="74">
        <f>RALRawDataTop!D16-31.5</f>
        <v>-30.8</v>
      </c>
      <c r="D12" s="75">
        <f>RALRawDataTop!E16</f>
        <v>1.001</v>
      </c>
      <c r="E12" s="92"/>
      <c r="F12" s="73">
        <f>RALRawDataTop!C20</f>
        <v>95.892</v>
      </c>
      <c r="G12" s="74">
        <f>RALRawDataTop!D20-31.5</f>
        <v>-30.798000000000002</v>
      </c>
      <c r="H12" s="75">
        <f>RALRawDataTop!E20</f>
        <v>1.031</v>
      </c>
      <c r="I12" s="92"/>
      <c r="J12" s="73">
        <f>RALRawDataBot!C52</f>
        <v>31.8</v>
      </c>
      <c r="K12" s="74">
        <f>RALRawDataBot!D52+31.5</f>
        <v>-30.799999999999997</v>
      </c>
      <c r="L12" s="75">
        <f>RALRawDataBot!E52</f>
        <v>0.146</v>
      </c>
      <c r="M12" s="92"/>
      <c r="N12" s="73">
        <f>RALRawDataBot!C56</f>
        <v>95.879</v>
      </c>
      <c r="O12" s="74">
        <f>RALRawDataBot!D56+31.5</f>
        <v>-30.799999999999997</v>
      </c>
      <c r="P12" s="75">
        <f>RALRawDataBot!E56</f>
        <v>0.105</v>
      </c>
    </row>
    <row r="13" spans="2:16" ht="10.5">
      <c r="B13" s="73">
        <f>RALRawDataTop!C17</f>
        <v>46.202</v>
      </c>
      <c r="C13" s="74">
        <f>RALRawDataTop!D17-31.5</f>
        <v>-30.799</v>
      </c>
      <c r="D13" s="75">
        <f>RALRawDataTop!E17</f>
        <v>1.017</v>
      </c>
      <c r="E13" s="92"/>
      <c r="F13" s="73">
        <f>RALRawDataTop!C21</f>
        <v>110.292</v>
      </c>
      <c r="G13" s="74">
        <f>RALRawDataTop!D21-31.5</f>
        <v>-30.798000000000002</v>
      </c>
      <c r="H13" s="75">
        <f>RALRawDataTop!E21</f>
        <v>1.023</v>
      </c>
      <c r="I13" s="92"/>
      <c r="J13" s="73">
        <f>RALRawDataBot!C53</f>
        <v>46.2</v>
      </c>
      <c r="K13" s="74">
        <f>RALRawDataBot!D53+31.5</f>
        <v>-30.799999999999997</v>
      </c>
      <c r="L13" s="75">
        <f>RALRawDataBot!E53</f>
        <v>0.135</v>
      </c>
      <c r="M13" s="92"/>
      <c r="N13" s="73">
        <f>RALRawDataBot!C57</f>
        <v>110.279</v>
      </c>
      <c r="O13" s="74">
        <f>RALRawDataBot!D57+31.5</f>
        <v>-30.799999999999997</v>
      </c>
      <c r="P13" s="75">
        <f>RALRawDataBot!E57</f>
        <v>0.095</v>
      </c>
    </row>
    <row r="14" spans="2:16" ht="10.5">
      <c r="B14" s="95">
        <f>RALRawDataTop!C18</f>
        <v>60.602</v>
      </c>
      <c r="C14" s="76">
        <f>RALRawDataTop!D18-31.5</f>
        <v>-30.8</v>
      </c>
      <c r="D14" s="77">
        <f>RALRawDataTop!E18</f>
        <v>1.023</v>
      </c>
      <c r="E14" s="92"/>
      <c r="F14" s="95">
        <f>RALRawDataTop!C22</f>
        <v>124.692</v>
      </c>
      <c r="G14" s="76">
        <f>RALRawDataTop!D22-31.5</f>
        <v>-30.798000000000002</v>
      </c>
      <c r="H14" s="77">
        <f>RALRawDataTop!E22</f>
        <v>1.002</v>
      </c>
      <c r="I14" s="92"/>
      <c r="J14" s="95">
        <f>RALRawDataBot!C54</f>
        <v>60.601</v>
      </c>
      <c r="K14" s="76">
        <f>RALRawDataBot!D54+31.5</f>
        <v>-30.799999999999997</v>
      </c>
      <c r="L14" s="77">
        <f>RALRawDataBot!E54</f>
        <v>0.115</v>
      </c>
      <c r="M14" s="92"/>
      <c r="N14" s="95">
        <f>RALRawDataBot!C58</f>
        <v>124.679</v>
      </c>
      <c r="O14" s="76">
        <f>RALRawDataBot!D58+31.5</f>
        <v>-30.799999999999997</v>
      </c>
      <c r="P14" s="77">
        <f>RALRawDataBot!E58</f>
        <v>0.075</v>
      </c>
    </row>
    <row r="15" spans="2:16" ht="10.5">
      <c r="B15" s="71">
        <f>RALRawDataTop!C23</f>
        <v>3.002</v>
      </c>
      <c r="C15" s="93">
        <f>RALRawDataTop!D23-31.5</f>
        <v>-15.399999999999999</v>
      </c>
      <c r="D15" s="94">
        <f>RALRawDataTop!E23</f>
        <v>0.908</v>
      </c>
      <c r="E15" s="92"/>
      <c r="F15" s="71">
        <f>RALRawDataTop!C28</f>
        <v>66.118</v>
      </c>
      <c r="G15" s="93">
        <f>RALRawDataTop!D28-31.5</f>
        <v>-15.399000000000001</v>
      </c>
      <c r="H15" s="94">
        <f>RALRawDataTop!E28</f>
        <v>1.015</v>
      </c>
      <c r="I15" s="92"/>
      <c r="J15" s="71">
        <f>RALRawDataBot!C41</f>
        <v>3.001</v>
      </c>
      <c r="K15" s="93">
        <f>RALRawDataBot!D41+31.5</f>
        <v>-15.399999999999999</v>
      </c>
      <c r="L15" s="94">
        <f>RALRawDataBot!E41</f>
        <v>0.128</v>
      </c>
      <c r="M15" s="92"/>
      <c r="N15" s="71">
        <f>RALRawDataBot!C46</f>
        <v>66.086</v>
      </c>
      <c r="O15" s="93">
        <f>RALRawDataBot!D46+31.5</f>
        <v>-15.399999999999999</v>
      </c>
      <c r="P15" s="94">
        <f>RALRawDataBot!E46</f>
        <v>0.097</v>
      </c>
    </row>
    <row r="16" spans="2:16" ht="10.5">
      <c r="B16" s="73">
        <f>RALRawDataTop!C24</f>
        <v>17.402</v>
      </c>
      <c r="C16" s="74">
        <f>RALRawDataTop!D24-31.5</f>
        <v>-15.399999999999999</v>
      </c>
      <c r="D16" s="75">
        <f>RALRawDataTop!E24</f>
        <v>0.956</v>
      </c>
      <c r="E16" s="92"/>
      <c r="F16" s="73">
        <f>0.5*(F15+F17)</f>
        <v>81.005</v>
      </c>
      <c r="G16" s="74">
        <f>0.5*(G15+G17)</f>
        <v>-15.3985</v>
      </c>
      <c r="H16" s="75">
        <f>0.5*(H15+H17)</f>
        <v>1.015</v>
      </c>
      <c r="I16" s="92"/>
      <c r="J16" s="73">
        <f>RALRawDataBot!C42</f>
        <v>17.401</v>
      </c>
      <c r="K16" s="74">
        <f>RALRawDataBot!D42+31.5</f>
        <v>-15.399999999999999</v>
      </c>
      <c r="L16" s="75">
        <f>RALRawDataBot!E42</f>
        <v>0.136</v>
      </c>
      <c r="M16" s="92"/>
      <c r="N16" s="73">
        <f>0.5*(N15+N17)</f>
        <v>80.9825</v>
      </c>
      <c r="O16" s="74">
        <f>0.5*(O15+O17)</f>
        <v>-15.400500000000001</v>
      </c>
      <c r="P16" s="75">
        <f>0.5*(P15+P17)</f>
        <v>0.1015</v>
      </c>
    </row>
    <row r="17" spans="2:16" ht="10.5">
      <c r="B17" s="73">
        <f>RALRawDataTop!C25</f>
        <v>31.802</v>
      </c>
      <c r="C17" s="74">
        <f>RALRawDataTop!D25-31.5</f>
        <v>-15.399999999999999</v>
      </c>
      <c r="D17" s="75">
        <f>RALRawDataTop!E25</f>
        <v>0.984</v>
      </c>
      <c r="E17" s="92"/>
      <c r="F17" s="73">
        <f>RALRawDataTop!C29</f>
        <v>95.892</v>
      </c>
      <c r="G17" s="74">
        <f>RALRawDataTop!D29-31.5</f>
        <v>-15.398</v>
      </c>
      <c r="H17" s="75">
        <f>RALRawDataTop!E29</f>
        <v>1.015</v>
      </c>
      <c r="I17" s="92"/>
      <c r="J17" s="73">
        <f>RALRawDataBot!C43</f>
        <v>31.8</v>
      </c>
      <c r="K17" s="74">
        <f>RALRawDataBot!D43+31.5</f>
        <v>-15.399999999999999</v>
      </c>
      <c r="L17" s="75">
        <f>RALRawDataBot!E43</f>
        <v>0.137</v>
      </c>
      <c r="M17" s="92"/>
      <c r="N17" s="73">
        <f>RALRawDataBot!C47</f>
        <v>95.879</v>
      </c>
      <c r="O17" s="74">
        <f>RALRawDataBot!D47+31.5</f>
        <v>-15.401000000000003</v>
      </c>
      <c r="P17" s="75">
        <f>RALRawDataBot!E47</f>
        <v>0.106</v>
      </c>
    </row>
    <row r="18" spans="2:16" ht="10.5">
      <c r="B18" s="73">
        <f>RALRawDataTop!C26</f>
        <v>46.202</v>
      </c>
      <c r="C18" s="74">
        <f>RALRawDataTop!D26-31.5</f>
        <v>-15.399999999999999</v>
      </c>
      <c r="D18" s="75">
        <f>RALRawDataTop!E26</f>
        <v>0.999</v>
      </c>
      <c r="E18" s="92"/>
      <c r="F18" s="73">
        <f>RALRawDataTop!C30</f>
        <v>110.292</v>
      </c>
      <c r="G18" s="74">
        <f>RALRawDataTop!D30-31.5</f>
        <v>-15.398</v>
      </c>
      <c r="H18" s="75">
        <f>RALRawDataTop!E30</f>
        <v>1.002</v>
      </c>
      <c r="I18" s="92"/>
      <c r="J18" s="73">
        <f>RALRawDataBot!C44</f>
        <v>46.2</v>
      </c>
      <c r="K18" s="74">
        <f>RALRawDataBot!D44+31.5</f>
        <v>-15.399999999999999</v>
      </c>
      <c r="L18" s="75">
        <f>RALRawDataBot!E44</f>
        <v>0.121</v>
      </c>
      <c r="M18" s="92"/>
      <c r="N18" s="73">
        <f>RALRawDataBot!C48</f>
        <v>110.279</v>
      </c>
      <c r="O18" s="74">
        <f>RALRawDataBot!D48+31.5</f>
        <v>-15.399999999999999</v>
      </c>
      <c r="P18" s="75">
        <f>RALRawDataBot!E48</f>
        <v>0.097</v>
      </c>
    </row>
    <row r="19" spans="2:16" ht="10.5">
      <c r="B19" s="95">
        <f>RALRawDataTop!C27</f>
        <v>60.602</v>
      </c>
      <c r="C19" s="76">
        <f>RALRawDataTop!D27-31.5</f>
        <v>-15.399999999999999</v>
      </c>
      <c r="D19" s="77">
        <f>RALRawDataTop!E27</f>
        <v>1.008</v>
      </c>
      <c r="E19" s="92"/>
      <c r="F19" s="95">
        <f>RALRawDataTop!C31</f>
        <v>124.692</v>
      </c>
      <c r="G19" s="76">
        <f>RALRawDataTop!D31-31.5</f>
        <v>-15.398</v>
      </c>
      <c r="H19" s="77">
        <f>RALRawDataTop!E31</f>
        <v>0.981</v>
      </c>
      <c r="I19" s="92"/>
      <c r="J19" s="95">
        <f>RALRawDataBot!C45</f>
        <v>60.601</v>
      </c>
      <c r="K19" s="76">
        <f>RALRawDataBot!D45+31.5</f>
        <v>-15.399999999999999</v>
      </c>
      <c r="L19" s="77">
        <f>RALRawDataBot!E45</f>
        <v>0.102</v>
      </c>
      <c r="M19" s="92"/>
      <c r="N19" s="95">
        <f>RALRawDataBot!C49</f>
        <v>124.679</v>
      </c>
      <c r="O19" s="76">
        <f>RALRawDataBot!D49+31.5</f>
        <v>-15.399999999999999</v>
      </c>
      <c r="P19" s="77">
        <f>RALRawDataBot!E49</f>
        <v>0.078</v>
      </c>
    </row>
    <row r="20" spans="2:16" ht="10.5">
      <c r="B20" s="71">
        <f>RALRawDataTop!C32</f>
        <v>3.002</v>
      </c>
      <c r="C20" s="93">
        <f>RALRawDataTop!D32-31.5</f>
        <v>0.0010000000000012221</v>
      </c>
      <c r="D20" s="94">
        <f>RALRawDataTop!E32</f>
        <v>0.916</v>
      </c>
      <c r="E20" s="92"/>
      <c r="F20" s="71">
        <f>RALRawDataTop!C37</f>
        <v>66.118</v>
      </c>
      <c r="G20" s="93">
        <f>RALRawDataTop!D37-31.5</f>
        <v>0.0010000000000012221</v>
      </c>
      <c r="H20" s="94">
        <f>RALRawDataTop!E37</f>
        <v>1.014</v>
      </c>
      <c r="I20" s="92"/>
      <c r="J20" s="71">
        <f>RALRawDataBot!C32</f>
        <v>3</v>
      </c>
      <c r="K20" s="93">
        <f>RALRawDataBot!D32+31.5</f>
        <v>0</v>
      </c>
      <c r="L20" s="94">
        <f>RALRawDataBot!E32</f>
        <v>0.133</v>
      </c>
      <c r="M20" s="92"/>
      <c r="N20" s="71">
        <f>RALRawDataBot!C37</f>
        <v>66.086</v>
      </c>
      <c r="O20" s="93">
        <f>RALRawDataBot!D37+31.5</f>
        <v>0</v>
      </c>
      <c r="P20" s="94">
        <f>RALRawDataBot!E37</f>
        <v>0.1</v>
      </c>
    </row>
    <row r="21" spans="2:16" ht="10.5">
      <c r="B21" s="73">
        <f>RALRawDataTop!C33</f>
        <v>17.402</v>
      </c>
      <c r="C21" s="74">
        <f>RALRawDataTop!D33-31.5</f>
        <v>0</v>
      </c>
      <c r="D21" s="75">
        <f>RALRawDataTop!E33</f>
        <v>0.956</v>
      </c>
      <c r="E21" s="92"/>
      <c r="F21" s="73">
        <f>0.5*(F20+F22)</f>
        <v>81.005</v>
      </c>
      <c r="G21" s="74">
        <f>0.5*(G20+G22)</f>
        <v>0.0015000000000000568</v>
      </c>
      <c r="H21" s="75">
        <f>0.5*(H20+H22)</f>
        <v>1.016</v>
      </c>
      <c r="I21" s="92"/>
      <c r="J21" s="73">
        <f>RALRawDataBot!C33</f>
        <v>17.401</v>
      </c>
      <c r="K21" s="74">
        <f>RALRawDataBot!D33+31.5</f>
        <v>0</v>
      </c>
      <c r="L21" s="75">
        <f>RALRawDataBot!E33</f>
        <v>0.141</v>
      </c>
      <c r="M21" s="92"/>
      <c r="N21" s="73">
        <f>0.5*(N20+N22)</f>
        <v>80.9825</v>
      </c>
      <c r="O21" s="74">
        <f>0.5*(O20+O22)</f>
        <v>0</v>
      </c>
      <c r="P21" s="75">
        <f>0.5*(P20+P22)</f>
        <v>0.10300000000000001</v>
      </c>
    </row>
    <row r="22" spans="2:16" ht="10.5">
      <c r="B22" s="73">
        <f>RALRawDataTop!C34</f>
        <v>31.802</v>
      </c>
      <c r="C22" s="74">
        <f>RALRawDataTop!D34-31.5</f>
        <v>0</v>
      </c>
      <c r="D22" s="75">
        <f>RALRawDataTop!E34</f>
        <v>0.986</v>
      </c>
      <c r="E22" s="92"/>
      <c r="F22" s="73">
        <f>RALRawDataTop!C38</f>
        <v>95.892</v>
      </c>
      <c r="G22" s="74">
        <f>RALRawDataTop!D38-31.5</f>
        <v>0.0019999999999988916</v>
      </c>
      <c r="H22" s="75">
        <f>RALRawDataTop!E38</f>
        <v>1.018</v>
      </c>
      <c r="I22" s="92"/>
      <c r="J22" s="73">
        <f>RALRawDataBot!C34</f>
        <v>31.8</v>
      </c>
      <c r="K22" s="74">
        <f>RALRawDataBot!D34+31.5</f>
        <v>0</v>
      </c>
      <c r="L22" s="75">
        <f>RALRawDataBot!E34</f>
        <v>0.134</v>
      </c>
      <c r="M22" s="92"/>
      <c r="N22" s="73">
        <f>RALRawDataBot!C38</f>
        <v>95.879</v>
      </c>
      <c r="O22" s="74">
        <f>RALRawDataBot!D38+31.5</f>
        <v>0</v>
      </c>
      <c r="P22" s="75">
        <f>RALRawDataBot!E38</f>
        <v>0.106</v>
      </c>
    </row>
    <row r="23" spans="2:16" ht="10.5">
      <c r="B23" s="73">
        <f>RALRawDataTop!C35</f>
        <v>46.202</v>
      </c>
      <c r="C23" s="74">
        <f>RALRawDataTop!D35-31.5</f>
        <v>0.0010000000000012221</v>
      </c>
      <c r="D23" s="75">
        <f>RALRawDataTop!E35</f>
        <v>1.006</v>
      </c>
      <c r="E23" s="92"/>
      <c r="F23" s="73">
        <f>RALRawDataTop!C39</f>
        <v>110.292</v>
      </c>
      <c r="G23" s="74">
        <f>RALRawDataTop!D39-31.5</f>
        <v>0.0019999999999988916</v>
      </c>
      <c r="H23" s="75">
        <f>RALRawDataTop!E39</f>
        <v>1.01</v>
      </c>
      <c r="I23" s="92"/>
      <c r="J23" s="73">
        <f>RALRawDataBot!C35</f>
        <v>46.2</v>
      </c>
      <c r="K23" s="74">
        <f>RALRawDataBot!D35+31.5</f>
        <v>0</v>
      </c>
      <c r="L23" s="75">
        <f>RALRawDataBot!E35</f>
        <v>0.123</v>
      </c>
      <c r="M23" s="92"/>
      <c r="N23" s="73">
        <f>RALRawDataBot!C39</f>
        <v>110.279</v>
      </c>
      <c r="O23" s="74">
        <f>RALRawDataBot!D39+31.5</f>
        <v>0</v>
      </c>
      <c r="P23" s="75">
        <f>RALRawDataBot!E39</f>
        <v>0.105</v>
      </c>
    </row>
    <row r="24" spans="2:16" ht="10.5">
      <c r="B24" s="95">
        <f>RALRawDataTop!C36</f>
        <v>60.602</v>
      </c>
      <c r="C24" s="76">
        <f>RALRawDataTop!D36-31.5</f>
        <v>0</v>
      </c>
      <c r="D24" s="77">
        <f>RALRawDataTop!E36</f>
        <v>1.013</v>
      </c>
      <c r="E24" s="92"/>
      <c r="F24" s="95">
        <f>RALRawDataTop!C40</f>
        <v>124.692</v>
      </c>
      <c r="G24" s="76">
        <f>RALRawDataTop!D40-31.5</f>
        <v>0.0019999999999988916</v>
      </c>
      <c r="H24" s="77">
        <f>RALRawDataTop!E40</f>
        <v>0.988</v>
      </c>
      <c r="I24" s="92"/>
      <c r="J24" s="95">
        <f>RALRawDataBot!C36</f>
        <v>60.6</v>
      </c>
      <c r="K24" s="76">
        <f>RALRawDataBot!D36+31.5</f>
        <v>-0.0010000000000012221</v>
      </c>
      <c r="L24" s="77">
        <f>RALRawDataBot!E36</f>
        <v>0.103</v>
      </c>
      <c r="M24" s="92"/>
      <c r="N24" s="95">
        <f>RALRawDataBot!C40</f>
        <v>124.679</v>
      </c>
      <c r="O24" s="76">
        <f>RALRawDataBot!D40+31.5</f>
        <v>0</v>
      </c>
      <c r="P24" s="77">
        <f>RALRawDataBot!E40</f>
        <v>0.084</v>
      </c>
    </row>
    <row r="25" spans="2:16" ht="10.5">
      <c r="B25" s="71">
        <f>RALRawDataTop!C41</f>
        <v>3.002</v>
      </c>
      <c r="C25" s="93">
        <f>RALRawDataTop!D41-31.5</f>
        <v>15.399999999999999</v>
      </c>
      <c r="D25" s="94">
        <f>RALRawDataTop!E41</f>
        <v>0.919</v>
      </c>
      <c r="E25" s="92"/>
      <c r="F25" s="71">
        <f>RALRawDataTop!C46</f>
        <v>66.118</v>
      </c>
      <c r="G25" s="93">
        <f>RALRawDataTop!D46-31.5</f>
        <v>15.401000000000003</v>
      </c>
      <c r="H25" s="94">
        <f>RALRawDataTop!E46</f>
        <v>1.014</v>
      </c>
      <c r="I25" s="92"/>
      <c r="J25" s="71">
        <f>RALRawDataBot!C23</f>
        <v>3</v>
      </c>
      <c r="K25" s="93">
        <f>RALRawDataBot!D23+31.5</f>
        <v>15.399999999999999</v>
      </c>
      <c r="L25" s="94">
        <f>RALRawDataBot!E23</f>
        <v>0.13</v>
      </c>
      <c r="M25" s="92"/>
      <c r="N25" s="71">
        <f>RALRawDataBot!C28</f>
        <v>66.086</v>
      </c>
      <c r="O25" s="93">
        <f>RALRawDataBot!D28+31.5</f>
        <v>15.399999999999999</v>
      </c>
      <c r="P25" s="94">
        <f>RALRawDataBot!E28</f>
        <v>0.095</v>
      </c>
    </row>
    <row r="26" spans="2:16" ht="10.5">
      <c r="B26" s="73">
        <f>RALRawDataTop!C42</f>
        <v>17.402</v>
      </c>
      <c r="C26" s="74">
        <f>RALRawDataTop!D42-31.5</f>
        <v>15.399999999999999</v>
      </c>
      <c r="D26" s="75">
        <f>RALRawDataTop!E42</f>
        <v>0.957</v>
      </c>
      <c r="E26" s="92"/>
      <c r="F26" s="73">
        <f>0.5*(F25+F27)</f>
        <v>81.005</v>
      </c>
      <c r="G26" s="74">
        <f>0.5*(G25+G27)</f>
        <v>15.401500000000002</v>
      </c>
      <c r="H26" s="75">
        <f>0.5*(H25+H27)</f>
        <v>1.0145</v>
      </c>
      <c r="I26" s="92"/>
      <c r="J26" s="73">
        <f>RALRawDataBot!C24</f>
        <v>17.401</v>
      </c>
      <c r="K26" s="74">
        <f>RALRawDataBot!D24+31.5</f>
        <v>15.399999999999999</v>
      </c>
      <c r="L26" s="75">
        <f>RALRawDataBot!E24</f>
        <v>0.14</v>
      </c>
      <c r="M26" s="92"/>
      <c r="N26" s="73">
        <f>0.5*(N25+N27)</f>
        <v>80.9825</v>
      </c>
      <c r="O26" s="74">
        <f>0.5*(O25+O27)</f>
        <v>15.399999999999999</v>
      </c>
      <c r="P26" s="75">
        <f>0.5*(P25+P27)</f>
        <v>0.1005</v>
      </c>
    </row>
    <row r="27" spans="2:16" ht="10.5">
      <c r="B27" s="73">
        <f>RALRawDataTop!C43</f>
        <v>31.802</v>
      </c>
      <c r="C27" s="74">
        <f>RALRawDataTop!D43-31.5</f>
        <v>15.399999999999999</v>
      </c>
      <c r="D27" s="75">
        <f>RALRawDataTop!E43</f>
        <v>0.984</v>
      </c>
      <c r="E27" s="92"/>
      <c r="F27" s="73">
        <f>RALRawDataTop!C47</f>
        <v>95.892</v>
      </c>
      <c r="G27" s="74">
        <f>RALRawDataTop!D47-31.5</f>
        <v>15.402000000000001</v>
      </c>
      <c r="H27" s="75">
        <f>RALRawDataTop!E47</f>
        <v>1.015</v>
      </c>
      <c r="I27" s="92"/>
      <c r="J27" s="73">
        <f>RALRawDataBot!C25</f>
        <v>31.8</v>
      </c>
      <c r="K27" s="74">
        <f>RALRawDataBot!D25+31.5</f>
        <v>15.399999999999999</v>
      </c>
      <c r="L27" s="75">
        <f>RALRawDataBot!E25</f>
        <v>0.131</v>
      </c>
      <c r="M27" s="92"/>
      <c r="N27" s="73">
        <f>RALRawDataBot!C29</f>
        <v>95.879</v>
      </c>
      <c r="O27" s="74">
        <f>RALRawDataBot!D29+31.5</f>
        <v>15.399999999999999</v>
      </c>
      <c r="P27" s="75">
        <f>RALRawDataBot!E29</f>
        <v>0.106</v>
      </c>
    </row>
    <row r="28" spans="2:16" ht="10.5">
      <c r="B28" s="73">
        <f>RALRawDataTop!C44</f>
        <v>46.202</v>
      </c>
      <c r="C28" s="74">
        <f>RALRawDataTop!D44-31.5</f>
        <v>15.399999999999999</v>
      </c>
      <c r="D28" s="75">
        <f>RALRawDataTop!E44</f>
        <v>1.006</v>
      </c>
      <c r="E28" s="92"/>
      <c r="F28" s="73">
        <f>RALRawDataTop!C48</f>
        <v>110.292</v>
      </c>
      <c r="G28" s="74">
        <f>RALRawDataTop!D48-31.5</f>
        <v>15.402000000000001</v>
      </c>
      <c r="H28" s="75">
        <f>RALRawDataTop!E48</f>
        <v>1.01</v>
      </c>
      <c r="I28" s="92"/>
      <c r="J28" s="73">
        <f>RALRawDataBot!C26</f>
        <v>46.2</v>
      </c>
      <c r="K28" s="74">
        <f>RALRawDataBot!D26+31.5</f>
        <v>15.399999999999999</v>
      </c>
      <c r="L28" s="75">
        <f>RALRawDataBot!E26</f>
        <v>0.117</v>
      </c>
      <c r="M28" s="92"/>
      <c r="N28" s="73">
        <f>RALRawDataBot!C30</f>
        <v>110.279</v>
      </c>
      <c r="O28" s="74">
        <f>RALRawDataBot!D30+31.5</f>
        <v>15.399999999999999</v>
      </c>
      <c r="P28" s="75">
        <f>RALRawDataBot!E30</f>
        <v>0.102</v>
      </c>
    </row>
    <row r="29" spans="2:16" ht="10.5">
      <c r="B29" s="95">
        <f>RALRawDataTop!C45</f>
        <v>60.602</v>
      </c>
      <c r="C29" s="76">
        <f>RALRawDataTop!D45-31.5</f>
        <v>15.399999999999999</v>
      </c>
      <c r="D29" s="77">
        <f>RALRawDataTop!E45</f>
        <v>1.011</v>
      </c>
      <c r="E29" s="92"/>
      <c r="F29" s="95">
        <f>RALRawDataTop!C49</f>
        <v>124.692</v>
      </c>
      <c r="G29" s="76">
        <f>RALRawDataTop!D49-31.5</f>
        <v>15.402000000000001</v>
      </c>
      <c r="H29" s="77">
        <f>RALRawDataTop!E49</f>
        <v>0.993</v>
      </c>
      <c r="I29" s="92"/>
      <c r="J29" s="95">
        <f>RALRawDataBot!C27</f>
        <v>60.6</v>
      </c>
      <c r="K29" s="76">
        <f>RALRawDataBot!D27+31.5</f>
        <v>15.399999999999999</v>
      </c>
      <c r="L29" s="77">
        <f>RALRawDataBot!E27</f>
        <v>0.109</v>
      </c>
      <c r="M29" s="92"/>
      <c r="N29" s="95">
        <f>RALRawDataBot!C31</f>
        <v>124.678</v>
      </c>
      <c r="O29" s="76">
        <f>RALRawDataBot!D31+31.5</f>
        <v>15.399999999999999</v>
      </c>
      <c r="P29" s="77">
        <f>RALRawDataBot!E31</f>
        <v>0.08</v>
      </c>
    </row>
    <row r="30" spans="2:16" ht="10.5">
      <c r="B30" s="73">
        <f>RALRawDataTop!C50</f>
        <v>3.002</v>
      </c>
      <c r="C30" s="74">
        <f>RALRawDataTop!D50-31.5</f>
        <v>30.799999999999997</v>
      </c>
      <c r="D30" s="75">
        <f>RALRawDataTop!E50</f>
        <v>0.915</v>
      </c>
      <c r="E30" s="92"/>
      <c r="F30" s="73">
        <f>RALRawDataTop!C55</f>
        <v>66.118</v>
      </c>
      <c r="G30" s="74">
        <f>RALRawDataTop!D55-31.5</f>
        <v>30.801000000000002</v>
      </c>
      <c r="H30" s="75">
        <f>RALRawDataTop!E55</f>
        <v>1.014</v>
      </c>
      <c r="I30" s="92"/>
      <c r="J30" s="73">
        <f>RALRawDataBot!C14</f>
        <v>3.001</v>
      </c>
      <c r="K30" s="74">
        <f>RALRawDataBot!D14+31.5</f>
        <v>30.799</v>
      </c>
      <c r="L30" s="75">
        <f>RALRawDataBot!E14</f>
        <v>0.142</v>
      </c>
      <c r="M30" s="92"/>
      <c r="N30" s="73">
        <f>RALRawDataBot!C19</f>
        <v>66.086</v>
      </c>
      <c r="O30" s="74">
        <f>RALRawDataBot!D19+31.5</f>
        <v>30.8</v>
      </c>
      <c r="P30" s="75">
        <f>RALRawDataBot!E19</f>
        <v>0.099</v>
      </c>
    </row>
    <row r="31" spans="2:16" ht="10.5">
      <c r="B31" s="73">
        <f>RALRawDataTop!C51</f>
        <v>17.402</v>
      </c>
      <c r="C31" s="74">
        <f>RALRawDataTop!D51-31.5</f>
        <v>30.799999999999997</v>
      </c>
      <c r="D31" s="75">
        <f>RALRawDataTop!E51</f>
        <v>0.96</v>
      </c>
      <c r="E31" s="92"/>
      <c r="F31" s="73">
        <f>0.5*(F30+F32)</f>
        <v>81.005</v>
      </c>
      <c r="G31" s="74">
        <f>0.5*(G30+G32)</f>
        <v>30.8015</v>
      </c>
      <c r="H31" s="75">
        <f>0.5*(H30+H32)</f>
        <v>1.016</v>
      </c>
      <c r="I31" s="92"/>
      <c r="J31" s="73">
        <f>RALRawDataBot!C15</f>
        <v>17.4</v>
      </c>
      <c r="K31" s="74">
        <f>RALRawDataBot!D15+31.5</f>
        <v>30.8</v>
      </c>
      <c r="L31" s="75">
        <f>RALRawDataBot!E15</f>
        <v>0.149</v>
      </c>
      <c r="M31" s="92"/>
      <c r="N31" s="73">
        <f>0.5*(N30+N32)</f>
        <v>80.9825</v>
      </c>
      <c r="O31" s="74">
        <f>0.5*(O30+O32)</f>
        <v>30.799500000000002</v>
      </c>
      <c r="P31" s="75">
        <f>0.5*(P30+P32)</f>
        <v>0.109</v>
      </c>
    </row>
    <row r="32" spans="2:16" ht="10.5">
      <c r="B32" s="73">
        <f>RALRawDataTop!C52</f>
        <v>31.802</v>
      </c>
      <c r="C32" s="74">
        <f>RALRawDataTop!D52-31.5</f>
        <v>30.801000000000002</v>
      </c>
      <c r="D32" s="75">
        <f>RALRawDataTop!E52</f>
        <v>0.987</v>
      </c>
      <c r="E32" s="92"/>
      <c r="F32" s="73">
        <f>RALRawDataTop!C56</f>
        <v>95.892</v>
      </c>
      <c r="G32" s="74">
        <f>RALRawDataTop!D56-31.5</f>
        <v>30.802</v>
      </c>
      <c r="H32" s="75">
        <f>RALRawDataTop!E56</f>
        <v>1.018</v>
      </c>
      <c r="I32" s="92"/>
      <c r="J32" s="73">
        <f>RALRawDataBot!C16</f>
        <v>31.801</v>
      </c>
      <c r="K32" s="74">
        <f>RALRawDataBot!D16+31.5</f>
        <v>30.8</v>
      </c>
      <c r="L32" s="75">
        <f>RALRawDataBot!E16</f>
        <v>0.142</v>
      </c>
      <c r="M32" s="92"/>
      <c r="N32" s="73">
        <f>RALRawDataBot!C20</f>
        <v>95.879</v>
      </c>
      <c r="O32" s="74">
        <f>RALRawDataBot!D20+31.5</f>
        <v>30.799</v>
      </c>
      <c r="P32" s="75">
        <f>RALRawDataBot!E20</f>
        <v>0.119</v>
      </c>
    </row>
    <row r="33" spans="2:16" ht="10.5">
      <c r="B33" s="73">
        <f>RALRawDataTop!C53</f>
        <v>46.202</v>
      </c>
      <c r="C33" s="74">
        <f>RALRawDataTop!D53-31.5</f>
        <v>30.799999999999997</v>
      </c>
      <c r="D33" s="75">
        <f>RALRawDataTop!E53</f>
        <v>1.007</v>
      </c>
      <c r="E33" s="92"/>
      <c r="F33" s="73">
        <f>RALRawDataTop!C57</f>
        <v>110.292</v>
      </c>
      <c r="G33" s="74">
        <f>RALRawDataTop!D57-31.5</f>
        <v>30.802</v>
      </c>
      <c r="H33" s="75">
        <f>RALRawDataTop!E57</f>
        <v>1.009</v>
      </c>
      <c r="I33" s="92"/>
      <c r="J33" s="73">
        <f>RALRawDataBot!C17</f>
        <v>46.201</v>
      </c>
      <c r="K33" s="74">
        <f>RALRawDataBot!D17+31.5</f>
        <v>30.8</v>
      </c>
      <c r="L33" s="75">
        <f>RALRawDataBot!E17</f>
        <v>0.125</v>
      </c>
      <c r="M33" s="92"/>
      <c r="N33" s="73">
        <f>RALRawDataBot!C21</f>
        <v>110.278</v>
      </c>
      <c r="O33" s="74">
        <f>RALRawDataBot!D21+31.5</f>
        <v>30.8</v>
      </c>
      <c r="P33" s="75">
        <f>RALRawDataBot!E21</f>
        <v>0.115</v>
      </c>
    </row>
    <row r="34" spans="2:16" ht="10.5">
      <c r="B34" s="95">
        <f>RALRawDataTop!C54</f>
        <v>60.602</v>
      </c>
      <c r="C34" s="76">
        <f>RALRawDataTop!D54-31.5</f>
        <v>30.799999999999997</v>
      </c>
      <c r="D34" s="77">
        <f>RALRawDataTop!E54</f>
        <v>1.021</v>
      </c>
      <c r="E34" s="92"/>
      <c r="F34" s="95">
        <f>RALRawDataTop!C58</f>
        <v>124.691</v>
      </c>
      <c r="G34" s="76">
        <f>RALRawDataTop!D58-31.5</f>
        <v>30.802</v>
      </c>
      <c r="H34" s="77">
        <f>RALRawDataTop!E58</f>
        <v>0.996</v>
      </c>
      <c r="I34" s="92"/>
      <c r="J34" s="95">
        <f>RALRawDataBot!C18</f>
        <v>60.601</v>
      </c>
      <c r="K34" s="76">
        <f>RALRawDataBot!D18+31.5</f>
        <v>30.8</v>
      </c>
      <c r="L34" s="77">
        <f>RALRawDataBot!E18</f>
        <v>0.108</v>
      </c>
      <c r="M34" s="92"/>
      <c r="N34" s="95">
        <f>RALRawDataBot!C22</f>
        <v>124.679</v>
      </c>
      <c r="O34" s="76">
        <f>RALRawDataBot!D22+31.5</f>
        <v>30.8</v>
      </c>
      <c r="P34" s="77">
        <f>RALRawDataBot!E22</f>
        <v>0.101</v>
      </c>
    </row>
    <row r="38" spans="2:10" ht="10.5">
      <c r="B38" s="72" t="s">
        <v>500</v>
      </c>
      <c r="J38" s="72" t="s">
        <v>506</v>
      </c>
    </row>
    <row r="40" spans="2:12" ht="10.5">
      <c r="B40" s="78">
        <f>RALRawDataTop!C59</f>
        <v>69.51</v>
      </c>
      <c r="C40" s="97">
        <f>RALRawDataTop!D59-31.5</f>
        <v>-36.551</v>
      </c>
      <c r="D40" s="98">
        <f>RALRawDataTop!E59</f>
        <v>2.001</v>
      </c>
      <c r="J40" s="78">
        <f>RALRawDataBot!C59</f>
        <v>69.498</v>
      </c>
      <c r="K40" s="97">
        <f>RALRawDataBot!D59+31.5</f>
        <v>34.167</v>
      </c>
      <c r="L40" s="98">
        <f>RALRawDataBot!E59</f>
        <v>1.1</v>
      </c>
    </row>
    <row r="41" spans="2:12" ht="10.5">
      <c r="B41" s="99">
        <f>RALRawDataTop!C60</f>
        <v>89.039</v>
      </c>
      <c r="C41" s="96">
        <f>RALRawDataTop!D60-31.5</f>
        <v>-36.595</v>
      </c>
      <c r="D41" s="100">
        <f>RALRawDataTop!E60</f>
        <v>1.98</v>
      </c>
      <c r="J41" s="99">
        <f>RALRawDataBot!C60</f>
        <v>81.14</v>
      </c>
      <c r="K41" s="96">
        <f>RALRawDataBot!D60+31.6</f>
        <v>34.577</v>
      </c>
      <c r="L41" s="100">
        <f>RALRawDataBot!E60</f>
        <v>1.132</v>
      </c>
    </row>
    <row r="42" spans="2:12" ht="10.5">
      <c r="B42" s="99">
        <f>RALRawDataTop!C61</f>
        <v>73.325</v>
      </c>
      <c r="C42" s="96">
        <f>RALRawDataTop!D61-31.5</f>
        <v>0</v>
      </c>
      <c r="D42" s="100">
        <f>RALRawDataTop!E61</f>
        <v>2.046</v>
      </c>
      <c r="J42" s="99">
        <f>RALRawDataBot!C61</f>
        <v>72.097</v>
      </c>
      <c r="K42" s="96">
        <f>RALRawDataBot!D61+31.6</f>
        <v>1.4990000000000023</v>
      </c>
      <c r="L42" s="100">
        <f>RALRawDataBot!E61</f>
        <v>1.136</v>
      </c>
    </row>
    <row r="43" spans="2:12" ht="10.5">
      <c r="B43" s="99">
        <f>RALRawDataTop!C62</f>
        <v>89.27</v>
      </c>
      <c r="C43" s="96">
        <f>RALRawDataTop!D62-31.5</f>
        <v>0.02499999999999858</v>
      </c>
      <c r="D43" s="100">
        <f>RALRawDataTop!E62</f>
        <v>2.02</v>
      </c>
      <c r="J43" s="99">
        <f>RALRawDataBot!C62</f>
        <v>88.926</v>
      </c>
      <c r="K43" s="96">
        <f>RALRawDataBot!D62+31.5</f>
        <v>1.8230000000000004</v>
      </c>
      <c r="L43" s="100">
        <f>RALRawDataBot!E62</f>
        <v>1.122</v>
      </c>
    </row>
    <row r="44" spans="2:12" ht="10.5">
      <c r="B44" s="99">
        <f>RALRawDataTop!C63</f>
        <v>69.487</v>
      </c>
      <c r="C44" s="96">
        <f>RALRawDataTop!D63-31.5</f>
        <v>34.402</v>
      </c>
      <c r="D44" s="100">
        <f>RALRawDataTop!E63</f>
        <v>2.061</v>
      </c>
      <c r="J44" s="99">
        <f>RALRawDataBot!C63</f>
        <v>69.478</v>
      </c>
      <c r="K44" s="96">
        <f>RALRawDataBot!D63+31.5</f>
        <v>-34.419</v>
      </c>
      <c r="L44" s="100">
        <f>RALRawDataBot!E63</f>
        <v>1.094</v>
      </c>
    </row>
    <row r="45" spans="2:12" ht="10.5">
      <c r="B45" s="101">
        <f>RALRawDataTop!C64</f>
        <v>88.783</v>
      </c>
      <c r="C45" s="102">
        <f>RALRawDataTop!D64-31.5</f>
        <v>34.569</v>
      </c>
      <c r="D45" s="103">
        <f>RALRawDataTop!E64</f>
        <v>2.079</v>
      </c>
      <c r="J45" s="101">
        <f>RALRawDataBot!C64</f>
        <v>89.109</v>
      </c>
      <c r="K45" s="102">
        <f>RALRawDataBot!D64+31.5</f>
        <v>-34.29900000000001</v>
      </c>
      <c r="L45" s="103">
        <f>RALRawDataBot!E64</f>
        <v>1.094</v>
      </c>
    </row>
    <row r="48" spans="2:10" ht="10.5">
      <c r="B48" s="72" t="s">
        <v>501</v>
      </c>
      <c r="J48" s="72" t="s">
        <v>507</v>
      </c>
    </row>
    <row r="50" spans="2:12" ht="10.5">
      <c r="B50" s="79">
        <f>RALRawDataTop!C65</f>
        <v>73.183</v>
      </c>
      <c r="C50" s="105">
        <f>RALRawDataTop!D65-31.5</f>
        <v>33.30200000000001</v>
      </c>
      <c r="D50" s="106">
        <f>RALRawDataTop!E65</f>
        <v>3.319</v>
      </c>
      <c r="J50" s="79">
        <f>RALRawDataBot!C65</f>
        <v>72.925</v>
      </c>
      <c r="K50" s="105">
        <f>RALRawDataBot!D65+31.5</f>
        <v>-33.241</v>
      </c>
      <c r="L50" s="106">
        <f>RALRawDataBot!E65</f>
        <v>2.343</v>
      </c>
    </row>
    <row r="51" spans="2:12" ht="10.5">
      <c r="B51" s="107">
        <f>RALRawDataTop!C66</f>
        <v>83.749</v>
      </c>
      <c r="C51" s="104">
        <f>RALRawDataTop!D66-31.5</f>
        <v>33.620000000000005</v>
      </c>
      <c r="D51" s="108">
        <f>RALRawDataTop!E66</f>
        <v>3.325</v>
      </c>
      <c r="J51" s="107">
        <f>RALRawDataBot!C66</f>
        <v>83.64</v>
      </c>
      <c r="K51" s="104">
        <f>RALRawDataBot!D66+31.5</f>
        <v>-33.406000000000006</v>
      </c>
      <c r="L51" s="108">
        <f>RALRawDataBot!E66</f>
        <v>2.358</v>
      </c>
    </row>
    <row r="52" spans="2:12" ht="10.5">
      <c r="B52" s="109">
        <f>RALRawDataTop!C67</f>
        <v>71.426</v>
      </c>
      <c r="C52" s="110">
        <f>RALRawDataTop!D67-31.5</f>
        <v>36.18600000000001</v>
      </c>
      <c r="D52" s="111">
        <f>RALRawDataTop!E67</f>
        <v>3.179</v>
      </c>
      <c r="J52" s="109">
        <f>RALRawDataBot!C67</f>
        <v>71.433</v>
      </c>
      <c r="K52" s="110">
        <f>RALRawDataBot!D67+31.5</f>
        <v>-36.126000000000005</v>
      </c>
      <c r="L52" s="111">
        <f>RALRawDataBot!E67</f>
        <v>2.208</v>
      </c>
    </row>
    <row r="58" spans="2:10" ht="10.5">
      <c r="B58" s="72" t="s">
        <v>502</v>
      </c>
      <c r="J58" s="72" t="s">
        <v>508</v>
      </c>
    </row>
    <row r="60" spans="1:12" ht="10.5">
      <c r="A60" s="70">
        <v>1</v>
      </c>
      <c r="B60" s="80">
        <f>RALRawDataTop!C68</f>
        <v>63.233</v>
      </c>
      <c r="C60" s="113">
        <f>RALRawDataTop!D68-31.5</f>
        <v>34.82899999999999</v>
      </c>
      <c r="D60" s="114">
        <f>RALRawDataTop!E68</f>
        <v>0.926</v>
      </c>
      <c r="J60" s="80">
        <f>RALRawDataBot!C68</f>
        <v>66.697</v>
      </c>
      <c r="K60" s="113">
        <f>RALRawDataBot!D68+31.5</f>
        <v>-34.81100000000001</v>
      </c>
      <c r="L60" s="114">
        <f>RALRawDataBot!E68</f>
        <v>-0.002</v>
      </c>
    </row>
    <row r="61" spans="1:12" ht="10.5">
      <c r="A61" s="70">
        <v>2</v>
      </c>
      <c r="B61" s="115">
        <f>RALRawDataTop!C69</f>
        <v>63.841</v>
      </c>
      <c r="C61" s="112">
        <f>RALRawDataTop!D69-31.5</f>
        <v>34.840999999999994</v>
      </c>
      <c r="D61" s="116">
        <f>RALRawDataTop!E69</f>
        <v>0.929</v>
      </c>
      <c r="J61" s="115">
        <f>RALRawDataBot!C69</f>
        <v>67.65</v>
      </c>
      <c r="K61" s="112">
        <f>RALRawDataBot!D69+31.5</f>
        <v>-34.791</v>
      </c>
      <c r="L61" s="116">
        <f>RALRawDataBot!E69</f>
        <v>-0.007</v>
      </c>
    </row>
    <row r="62" spans="1:12" ht="10.5">
      <c r="A62" s="70">
        <v>3</v>
      </c>
      <c r="B62" s="117">
        <f>RALRawDataTop!C70</f>
        <v>63.541</v>
      </c>
      <c r="C62" s="118">
        <f>RALRawDataTop!D70-31.5</f>
        <v>34.513000000000005</v>
      </c>
      <c r="D62" s="119">
        <f>RALRawDataTop!E70</f>
        <v>0.928</v>
      </c>
      <c r="J62" s="117">
        <f>RALRawDataBot!C70</f>
        <v>67.217</v>
      </c>
      <c r="K62" s="118">
        <f>RALRawDataBot!D70+31.5</f>
        <v>-35.665000000000006</v>
      </c>
      <c r="L62" s="119">
        <f>RALRawDataBot!E70</f>
        <v>0</v>
      </c>
    </row>
    <row r="63" spans="1:12" ht="10.5">
      <c r="A63" s="70" t="s">
        <v>513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</row>
    <row r="68" spans="2:10" ht="10.5">
      <c r="B68" s="72" t="s">
        <v>503</v>
      </c>
      <c r="J68" s="72" t="s">
        <v>509</v>
      </c>
    </row>
    <row r="70" spans="1:12" ht="10.5">
      <c r="A70" s="70">
        <v>4</v>
      </c>
      <c r="B70" s="82">
        <f>RALRawDataTop!C71</f>
        <v>62.798</v>
      </c>
      <c r="C70" s="121">
        <f>RALRawDataTop!D71-31.5</f>
        <v>-34.421</v>
      </c>
      <c r="D70" s="122">
        <f>RALRawDataTop!E71</f>
        <v>0.915</v>
      </c>
      <c r="J70" s="82">
        <f>RALRawDataBot!C71</f>
        <v>63.004</v>
      </c>
      <c r="K70" s="121">
        <f>RALRawDataBot!D71+31.5</f>
        <v>34.441</v>
      </c>
      <c r="L70" s="122">
        <f>RALRawDataBot!E71</f>
        <v>0.001</v>
      </c>
    </row>
    <row r="71" spans="1:12" ht="10.5">
      <c r="A71" s="70">
        <v>5</v>
      </c>
      <c r="B71" s="123">
        <f>RALRawDataTop!C72</f>
        <v>62.963</v>
      </c>
      <c r="C71" s="120">
        <f>RALRawDataTop!D72-31.5</f>
        <v>-40.42</v>
      </c>
      <c r="D71" s="124">
        <f>RALRawDataTop!E72</f>
        <v>0.906</v>
      </c>
      <c r="J71" s="123">
        <f>RALRawDataBot!C72</f>
        <v>63.004</v>
      </c>
      <c r="K71" s="120">
        <f>RALRawDataBot!D72+31.5</f>
        <v>40.448</v>
      </c>
      <c r="L71" s="124">
        <f>RALRawDataBot!E72</f>
        <v>0.007</v>
      </c>
    </row>
    <row r="72" spans="1:12" ht="10.5">
      <c r="A72" s="70">
        <v>6</v>
      </c>
      <c r="B72" s="123">
        <f>RALRawDataTop!C73</f>
        <v>63.126</v>
      </c>
      <c r="C72" s="120">
        <f>RALRawDataTop!D73-31.5</f>
        <v>-46.417</v>
      </c>
      <c r="D72" s="124">
        <f>RALRawDataTop!E73</f>
        <v>0.904</v>
      </c>
      <c r="J72" s="123">
        <f>RALRawDataBot!C73</f>
        <v>63.003</v>
      </c>
      <c r="K72" s="120">
        <f>RALRawDataBot!D73+31.5</f>
        <v>46.454</v>
      </c>
      <c r="L72" s="124">
        <f>RALRawDataBot!E73</f>
        <v>0.013</v>
      </c>
    </row>
    <row r="73" spans="1:12" ht="10.5">
      <c r="A73" s="70">
        <v>7</v>
      </c>
      <c r="B73" s="123">
        <f>RALRawDataTop!C74</f>
        <v>65</v>
      </c>
      <c r="C73" s="120">
        <f>RALRawDataTop!D74-31.5</f>
        <v>-46.366</v>
      </c>
      <c r="D73" s="124">
        <f>RALRawDataTop!E74</f>
        <v>0.902</v>
      </c>
      <c r="J73" s="123">
        <f>RALRawDataBot!C74</f>
        <v>66.004</v>
      </c>
      <c r="K73" s="120">
        <f>RALRawDataBot!D74+31.5</f>
        <v>46.452</v>
      </c>
      <c r="L73" s="124">
        <f>RALRawDataBot!E74</f>
        <v>0.013</v>
      </c>
    </row>
    <row r="74" spans="1:12" ht="10.5">
      <c r="A74" s="70">
        <v>8</v>
      </c>
      <c r="B74" s="123">
        <f>RALRawDataTop!C75</f>
        <v>64.837</v>
      </c>
      <c r="C74" s="120">
        <f>RALRawDataTop!D75-31.5</f>
        <v>-40.424</v>
      </c>
      <c r="D74" s="124">
        <f>RALRawDataTop!E75</f>
        <v>0.902</v>
      </c>
      <c r="J74" s="123">
        <f>RALRawDataBot!C75</f>
        <v>66.004</v>
      </c>
      <c r="K74" s="120">
        <f>RALRawDataBot!D75+31.5</f>
        <v>40.453</v>
      </c>
      <c r="L74" s="124">
        <f>RALRawDataBot!E75</f>
        <v>0.018</v>
      </c>
    </row>
    <row r="75" spans="1:12" ht="10.5">
      <c r="A75" s="70">
        <v>9</v>
      </c>
      <c r="B75" s="123">
        <f>RALRawDataTop!C76</f>
        <v>64.673</v>
      </c>
      <c r="C75" s="120">
        <f>RALRawDataTop!D76-31.5</f>
        <v>-34.428</v>
      </c>
      <c r="D75" s="124">
        <f>RALRawDataTop!E76</f>
        <v>0.91</v>
      </c>
      <c r="J75" s="123">
        <f>RALRawDataBot!C76</f>
        <v>66.004</v>
      </c>
      <c r="K75" s="120">
        <f>RALRawDataBot!D76+31.5</f>
        <v>34.444</v>
      </c>
      <c r="L75" s="124">
        <f>RALRawDataBot!E76</f>
        <v>0.005</v>
      </c>
    </row>
    <row r="76" spans="1:12" ht="10.5">
      <c r="A76" s="70">
        <v>10</v>
      </c>
      <c r="B76" s="123">
        <f>RALRawDataTop!C77</f>
        <v>94.998</v>
      </c>
      <c r="C76" s="120">
        <f>RALRawDataTop!D77-31.5</f>
        <v>-34.419</v>
      </c>
      <c r="D76" s="124">
        <f>RALRawDataTop!E77</f>
        <v>0.908</v>
      </c>
      <c r="J76" s="123">
        <f>RALRawDataBot!C77</f>
        <v>92.002</v>
      </c>
      <c r="K76" s="120">
        <f>RALRawDataBot!D77+31.5</f>
        <v>34.467</v>
      </c>
      <c r="L76" s="124">
        <f>RALRawDataBot!E77</f>
        <v>-0.002</v>
      </c>
    </row>
    <row r="77" spans="1:12" ht="10.5">
      <c r="A77" s="70">
        <v>11</v>
      </c>
      <c r="B77" s="123">
        <f>RALRawDataTop!C78</f>
        <v>94.998</v>
      </c>
      <c r="C77" s="120">
        <f>RALRawDataTop!D78-31.5</f>
        <v>-40.422</v>
      </c>
      <c r="D77" s="124">
        <f>RALRawDataTop!E78</f>
        <v>0.904</v>
      </c>
      <c r="J77" s="123">
        <f>RALRawDataBot!C78</f>
        <v>92.002</v>
      </c>
      <c r="K77" s="120">
        <f>RALRawDataBot!D78+31.5</f>
        <v>40.472</v>
      </c>
      <c r="L77" s="124">
        <f>RALRawDataBot!E78</f>
        <v>0.004</v>
      </c>
    </row>
    <row r="78" spans="1:12" ht="10.5">
      <c r="A78" s="70">
        <v>12</v>
      </c>
      <c r="B78" s="123">
        <f>RALRawDataTop!C79</f>
        <v>94.998</v>
      </c>
      <c r="C78" s="120">
        <f>RALRawDataTop!D79-31.5</f>
        <v>-46.424</v>
      </c>
      <c r="D78" s="124">
        <f>RALRawDataTop!E79</f>
        <v>0.901</v>
      </c>
      <c r="J78" s="123">
        <f>RALRawDataBot!C79</f>
        <v>92.002</v>
      </c>
      <c r="K78" s="120">
        <f>RALRawDataBot!D79+31.5</f>
        <v>46.473</v>
      </c>
      <c r="L78" s="124">
        <f>RALRawDataBot!E79</f>
        <v>0.007</v>
      </c>
    </row>
    <row r="79" spans="1:12" ht="10.5">
      <c r="A79" s="70">
        <v>13</v>
      </c>
      <c r="B79" s="123">
        <f>RALRawDataTop!C80</f>
        <v>97.997</v>
      </c>
      <c r="C79" s="120">
        <f>RALRawDataTop!D80-31.5</f>
        <v>-46.415</v>
      </c>
      <c r="D79" s="124">
        <f>RALRawDataTop!E80</f>
        <v>0.908</v>
      </c>
      <c r="J79" s="123">
        <f>RALRawDataBot!C80</f>
        <v>95.002</v>
      </c>
      <c r="K79" s="120">
        <f>RALRawDataBot!D80+31.5</f>
        <v>46.469</v>
      </c>
      <c r="L79" s="124">
        <f>RALRawDataBot!E80</f>
        <v>0.004</v>
      </c>
    </row>
    <row r="80" spans="1:12" ht="10.5">
      <c r="A80" s="70">
        <v>14</v>
      </c>
      <c r="B80" s="123">
        <f>RALRawDataTop!C81</f>
        <v>97.998</v>
      </c>
      <c r="C80" s="120">
        <f>RALRawDataTop!D81-31.5</f>
        <v>-40.414</v>
      </c>
      <c r="D80" s="124">
        <f>RALRawDataTop!E81</f>
        <v>0.908</v>
      </c>
      <c r="J80" s="123">
        <f>RALRawDataBot!C81</f>
        <v>95.002</v>
      </c>
      <c r="K80" s="120">
        <f>RALRawDataBot!D81+31.5</f>
        <v>40.47</v>
      </c>
      <c r="L80" s="124">
        <f>RALRawDataBot!E81</f>
        <v>0.005</v>
      </c>
    </row>
    <row r="81" spans="1:12" ht="10.5">
      <c r="A81" s="70">
        <v>15</v>
      </c>
      <c r="B81" s="123">
        <f>RALRawDataTop!C82</f>
        <v>97.997</v>
      </c>
      <c r="C81" s="120">
        <f>RALRawDataTop!D82-31.5</f>
        <v>-34.412</v>
      </c>
      <c r="D81" s="124">
        <f>RALRawDataTop!E82</f>
        <v>0.91</v>
      </c>
      <c r="J81" s="123">
        <f>RALRawDataBot!C82</f>
        <v>95.002</v>
      </c>
      <c r="K81" s="120">
        <f>RALRawDataBot!D82+31.5</f>
        <v>34.469</v>
      </c>
      <c r="L81" s="124">
        <f>RALRawDataBot!E82</f>
        <v>0.001</v>
      </c>
    </row>
    <row r="82" spans="1:12" ht="10.5">
      <c r="A82" s="70">
        <v>16</v>
      </c>
      <c r="B82" s="125"/>
      <c r="C82" s="92"/>
      <c r="D82" s="126"/>
      <c r="J82" s="123">
        <f>RALRawDataBot!C83</f>
        <v>79.001</v>
      </c>
      <c r="K82" s="120">
        <f>RALRawDataBot!D83+31.5</f>
        <v>40.457</v>
      </c>
      <c r="L82" s="124">
        <f>RALRawDataBot!E83</f>
        <v>0.012</v>
      </c>
    </row>
    <row r="83" spans="1:12" ht="10.5">
      <c r="A83" s="70">
        <v>17</v>
      </c>
      <c r="B83" s="127"/>
      <c r="C83" s="128"/>
      <c r="D83" s="129"/>
      <c r="J83" s="130">
        <f>RALRawDataBot!C84</f>
        <v>79.001</v>
      </c>
      <c r="K83" s="131">
        <f>RALRawDataBot!D84+31.5</f>
        <v>46.461</v>
      </c>
      <c r="L83" s="132">
        <f>RALRawDataBot!E84</f>
        <v>0.015</v>
      </c>
    </row>
    <row r="87" ht="10.5">
      <c r="B87" s="81"/>
    </row>
    <row r="88" spans="2:10" ht="10.5">
      <c r="B88" s="72" t="s">
        <v>514</v>
      </c>
      <c r="J88" s="72" t="s">
        <v>515</v>
      </c>
    </row>
    <row r="90" spans="1:12" ht="10.5">
      <c r="A90" s="70" t="s">
        <v>510</v>
      </c>
      <c r="B90" s="83">
        <f>AVERAGE(B60:B61:B62)</f>
        <v>63.538333333333334</v>
      </c>
      <c r="C90" s="84">
        <f>AVERAGE(C60:C61:C62)</f>
        <v>34.727666666666664</v>
      </c>
      <c r="D90" s="85">
        <f>AVERAGE(D60:D61:D62)</f>
        <v>0.9276666666666666</v>
      </c>
      <c r="J90" s="83">
        <f>AVERAGE(J60:J61:J62)</f>
        <v>67.188</v>
      </c>
      <c r="K90" s="84">
        <f>AVERAGE(K60:K61:K62)</f>
        <v>-35.089000000000006</v>
      </c>
      <c r="L90" s="85">
        <f>AVERAGE(L60:L61:L62)</f>
        <v>-0.0030000000000000005</v>
      </c>
    </row>
    <row r="91" spans="1:12" ht="10.5">
      <c r="A91" s="70" t="s">
        <v>511</v>
      </c>
      <c r="B91" s="86">
        <f>AVERAGE(B70:B71:B74:B75)</f>
        <v>63.899499999999996</v>
      </c>
      <c r="C91" s="87">
        <f>AVERAGE(C70:C71:C74:C75)</f>
        <v>-40.412666666666674</v>
      </c>
      <c r="D91" s="88">
        <f>AVERAGE(D70:D71:D74:D75)</f>
        <v>0.9065</v>
      </c>
      <c r="E91" s="81"/>
      <c r="F91" s="81"/>
      <c r="G91" s="81"/>
      <c r="H91" s="81"/>
      <c r="I91" s="81"/>
      <c r="J91" s="86">
        <f>AVERAGE(J70:J71:J74:J75)</f>
        <v>64.50383333333333</v>
      </c>
      <c r="K91" s="87">
        <f>AVERAGE(K70:K71:K74:K75)</f>
        <v>40.44866666666667</v>
      </c>
      <c r="L91" s="88">
        <f>AVERAGE(L70:L71:L74:L75)</f>
        <v>0.009499999999999998</v>
      </c>
    </row>
    <row r="92" spans="1:12" ht="10.5">
      <c r="A92" s="70" t="s">
        <v>512</v>
      </c>
      <c r="B92" s="89">
        <f>AVERAGE(B76:B77:B80:B81)</f>
        <v>96.49766666666666</v>
      </c>
      <c r="C92" s="90">
        <f>AVERAGE(C76:C77:C80:C81)</f>
        <v>-40.41766666666667</v>
      </c>
      <c r="D92" s="91">
        <f>AVERAGE(D76:D77:D80:D81)</f>
        <v>0.9065</v>
      </c>
      <c r="J92" s="89">
        <f>AVERAGE(J76:J77:J80:J81)</f>
        <v>93.502</v>
      </c>
      <c r="K92" s="90">
        <f>AVERAGE(K76:K77:K80:K81)</f>
        <v>40.47</v>
      </c>
      <c r="L92" s="91">
        <f>AVERAGE(L76:L77:L80:L81)</f>
        <v>0.003166666666666667</v>
      </c>
    </row>
    <row r="99" spans="2:10" ht="10.5">
      <c r="B99" s="72" t="s">
        <v>522</v>
      </c>
      <c r="J99" s="72" t="s">
        <v>523</v>
      </c>
    </row>
    <row r="100" spans="1:12" ht="10.5">
      <c r="A100" s="70">
        <v>1</v>
      </c>
      <c r="B100" s="78">
        <f>AVERAGE(B72:B73)</f>
        <v>64.063</v>
      </c>
      <c r="C100" s="97">
        <f>AVERAGE(C72:C73)</f>
        <v>-46.3915</v>
      </c>
      <c r="D100" s="98">
        <f>AVERAGE(D72:D73)</f>
        <v>0.903</v>
      </c>
      <c r="J100" s="78">
        <f>AVERAGE(J72:J73)</f>
        <v>64.5035</v>
      </c>
      <c r="K100" s="97">
        <f>AVERAGE(K72:K73)</f>
        <v>46.453</v>
      </c>
      <c r="L100" s="98">
        <f>AVERAGE(L72:L73)</f>
        <v>0.013</v>
      </c>
    </row>
    <row r="101" spans="1:12" ht="10.5">
      <c r="A101" s="70">
        <v>2</v>
      </c>
      <c r="B101" s="99">
        <f>AVERAGE(B71:B74)</f>
        <v>63.9815</v>
      </c>
      <c r="C101" s="96">
        <f>AVERAGE(C71:C74)</f>
        <v>-43.40675</v>
      </c>
      <c r="D101" s="100">
        <f>AVERAGE(D71:D74)</f>
        <v>0.9035000000000001</v>
      </c>
      <c r="J101" s="99">
        <f>AVERAGE(J71:J74)</f>
        <v>64.50375000000001</v>
      </c>
      <c r="K101" s="96">
        <f>AVERAGE(K71:K74)</f>
        <v>43.45175</v>
      </c>
      <c r="L101" s="100">
        <f>AVERAGE(L71:L74)</f>
        <v>0.012750000000000001</v>
      </c>
    </row>
    <row r="102" spans="1:12" ht="10.5">
      <c r="A102" s="70">
        <v>3</v>
      </c>
      <c r="B102" s="99">
        <f>AVERAGE(B70:B75)</f>
        <v>63.899499999999996</v>
      </c>
      <c r="C102" s="96">
        <f>AVERAGE(C70:C75)</f>
        <v>-40.412666666666674</v>
      </c>
      <c r="D102" s="100">
        <f>AVERAGE(D70:D75)</f>
        <v>0.9065</v>
      </c>
      <c r="J102" s="99">
        <f>AVERAGE(J70:J75)</f>
        <v>64.50383333333333</v>
      </c>
      <c r="K102" s="96">
        <f>AVERAGE(K70:K75)</f>
        <v>40.44866666666667</v>
      </c>
      <c r="L102" s="100">
        <f>AVERAGE(L70:L75)</f>
        <v>0.009499999999999998</v>
      </c>
    </row>
    <row r="103" spans="1:12" ht="10.5">
      <c r="A103" s="70">
        <v>4</v>
      </c>
      <c r="B103" s="99">
        <f>AVERAGE(B78:B79)</f>
        <v>96.4975</v>
      </c>
      <c r="C103" s="96">
        <f>AVERAGE(C78:C79)</f>
        <v>-46.4195</v>
      </c>
      <c r="D103" s="100">
        <f>AVERAGE(D78:D79)</f>
        <v>0.9045000000000001</v>
      </c>
      <c r="J103" s="99">
        <f>AVERAGE(J78:J79)</f>
        <v>93.502</v>
      </c>
      <c r="K103" s="96">
        <f>AVERAGE(K78:K79)</f>
        <v>46.471000000000004</v>
      </c>
      <c r="L103" s="100">
        <f>AVERAGE(L78:L79)</f>
        <v>0.0055</v>
      </c>
    </row>
    <row r="104" spans="1:12" ht="10.5">
      <c r="A104" s="70">
        <v>5</v>
      </c>
      <c r="B104" s="99">
        <f>AVERAGE(B77:B80)</f>
        <v>96.49775</v>
      </c>
      <c r="C104" s="96">
        <f>AVERAGE(C77:C80)</f>
        <v>-43.41875</v>
      </c>
      <c r="D104" s="100">
        <f>AVERAGE(D77:D80)</f>
        <v>0.90525</v>
      </c>
      <c r="J104" s="99">
        <f>AVERAGE(J77:J80)</f>
        <v>93.502</v>
      </c>
      <c r="K104" s="96">
        <f>AVERAGE(K77:K80)</f>
        <v>43.471</v>
      </c>
      <c r="L104" s="100">
        <f>AVERAGE(L77:L80)</f>
        <v>0.005</v>
      </c>
    </row>
    <row r="105" spans="1:12" ht="10.5">
      <c r="A105" s="70">
        <v>6</v>
      </c>
      <c r="B105" s="99">
        <f>AVERAGE(B76:B81)</f>
        <v>96.49766666666666</v>
      </c>
      <c r="C105" s="96">
        <f>AVERAGE(C76:C81)</f>
        <v>-40.41766666666667</v>
      </c>
      <c r="D105" s="100">
        <f>AVERAGE(D76:D81)</f>
        <v>0.9065</v>
      </c>
      <c r="J105" s="99">
        <f>AVERAGE(J76:J81)</f>
        <v>93.502</v>
      </c>
      <c r="K105" s="96">
        <f>AVERAGE(K76:K81)</f>
        <v>40.47</v>
      </c>
      <c r="L105" s="100">
        <f>AVERAGE(L76:L81)</f>
        <v>0.003166666666666667</v>
      </c>
    </row>
    <row r="106" spans="1:12" ht="10.5">
      <c r="A106" s="70">
        <v>7</v>
      </c>
      <c r="B106" s="99"/>
      <c r="C106" s="96"/>
      <c r="D106" s="100"/>
      <c r="J106" s="99">
        <f aca="true" t="shared" si="0" ref="J106:L107">J82</f>
        <v>79.001</v>
      </c>
      <c r="K106" s="96">
        <f t="shared" si="0"/>
        <v>40.457</v>
      </c>
      <c r="L106" s="100">
        <f t="shared" si="0"/>
        <v>0.012</v>
      </c>
    </row>
    <row r="107" spans="1:12" ht="10.5">
      <c r="A107" s="70">
        <v>8</v>
      </c>
      <c r="B107" s="101"/>
      <c r="C107" s="102"/>
      <c r="D107" s="103"/>
      <c r="J107" s="101">
        <f t="shared" si="0"/>
        <v>79.001</v>
      </c>
      <c r="K107" s="102">
        <f t="shared" si="0"/>
        <v>46.461</v>
      </c>
      <c r="L107" s="103">
        <f t="shared" si="0"/>
        <v>0.015</v>
      </c>
    </row>
  </sheetData>
  <printOptions/>
  <pageMargins left="0.75" right="0.75" top="1" bottom="1" header="0.5" footer="0.5"/>
  <pageSetup horizontalDpi="120" verticalDpi="12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workbookViewId="0" topLeftCell="A64">
      <selection activeCell="D89" sqref="D89"/>
    </sheetView>
  </sheetViews>
  <sheetFormatPr defaultColWidth="9.140625" defaultRowHeight="12"/>
  <cols>
    <col min="1" max="8" width="12.00390625" style="0" customWidth="1"/>
    <col min="9" max="9" width="26.8515625" style="0" customWidth="1"/>
    <col min="10" max="16384" width="12.00390625" style="0" customWidth="1"/>
  </cols>
  <sheetData>
    <row r="1" ht="10.5">
      <c r="A1" t="s">
        <v>353</v>
      </c>
    </row>
    <row r="3" spans="1:5" ht="10.5">
      <c r="A3" t="str">
        <f>GlobalFrame!A3</f>
        <v>RawData</v>
      </c>
      <c r="B3" t="str">
        <f>StageFrame!B3</f>
        <v>Lower</v>
      </c>
      <c r="E3" t="str">
        <f>StageFrame!E3</f>
        <v>Upper</v>
      </c>
    </row>
    <row r="4" spans="1:7" ht="10.5">
      <c r="A4" t="str">
        <f>GlobalFrame!A4</f>
        <v>LeftSensor</v>
      </c>
      <c r="B4" t="str">
        <f>GlobalFrame!B4</f>
        <v>x</v>
      </c>
      <c r="C4" t="str">
        <f>GlobalFrame!C4</f>
        <v>y</v>
      </c>
      <c r="D4" t="str">
        <f>GlobalFrame!D4</f>
        <v>z</v>
      </c>
      <c r="E4" t="str">
        <f>GlobalFrame!E4</f>
        <v>x</v>
      </c>
      <c r="F4" t="str">
        <f>GlobalFrame!F4</f>
        <v>y</v>
      </c>
      <c r="G4" t="str">
        <f>GlobalFrame!G4</f>
        <v>z</v>
      </c>
    </row>
    <row r="5" spans="1:7" ht="10.5">
      <c r="A5">
        <f>GlobalFrame!A5</f>
        <v>1</v>
      </c>
      <c r="B5">
        <f>RALDataSummary!J10-64</f>
        <v>-60.999</v>
      </c>
      <c r="C5">
        <f>RALDataSummary!K10+32</f>
        <v>1.2000000000000028</v>
      </c>
      <c r="D5">
        <f>-RALDataSummary!L10</f>
        <v>-0.136</v>
      </c>
      <c r="E5">
        <f>RALDataSummary!B10-64</f>
        <v>-60.998</v>
      </c>
      <c r="F5">
        <f>RALDataSummary!C10-32</f>
        <v>-62.799</v>
      </c>
      <c r="G5">
        <f>RALDataSummary!D10</f>
        <v>0.927</v>
      </c>
    </row>
    <row r="6" spans="1:7" ht="10.5">
      <c r="A6">
        <f>GlobalFrame!A6</f>
        <v>2</v>
      </c>
      <c r="B6">
        <f>RALDataSummary!J11-64</f>
        <v>-46.6</v>
      </c>
      <c r="C6">
        <f>RALDataSummary!K11+32</f>
        <v>1.2000000000000028</v>
      </c>
      <c r="D6">
        <f>-RALDataSummary!L11</f>
        <v>-0.148</v>
      </c>
      <c r="E6">
        <f>RALDataSummary!B11-64</f>
        <v>-46.598</v>
      </c>
      <c r="F6">
        <f>RALDataSummary!C11-32</f>
        <v>-62.8</v>
      </c>
      <c r="G6">
        <f>RALDataSummary!D11</f>
        <v>0.971</v>
      </c>
    </row>
    <row r="7" spans="1:7" ht="10.5">
      <c r="A7">
        <f>GlobalFrame!A7</f>
        <v>3</v>
      </c>
      <c r="B7">
        <f>RALDataSummary!J12-64</f>
        <v>-32.2</v>
      </c>
      <c r="C7">
        <f>RALDataSummary!K12+32</f>
        <v>1.2000000000000028</v>
      </c>
      <c r="D7">
        <f>-RALDataSummary!L12</f>
        <v>-0.146</v>
      </c>
      <c r="E7">
        <f>RALDataSummary!B12-64</f>
        <v>-32.198</v>
      </c>
      <c r="F7">
        <f>RALDataSummary!C12-32</f>
        <v>-62.8</v>
      </c>
      <c r="G7">
        <f>RALDataSummary!D12</f>
        <v>1.001</v>
      </c>
    </row>
    <row r="8" spans="1:7" ht="10.5">
      <c r="A8">
        <f>GlobalFrame!A8</f>
        <v>4</v>
      </c>
      <c r="B8">
        <f>RALDataSummary!J13-64</f>
        <v>-17.799999999999997</v>
      </c>
      <c r="C8">
        <f>RALDataSummary!K13+32</f>
        <v>1.2000000000000028</v>
      </c>
      <c r="D8">
        <f>-RALDataSummary!L13</f>
        <v>-0.135</v>
      </c>
      <c r="E8">
        <f>RALDataSummary!B13-64</f>
        <v>-17.798000000000002</v>
      </c>
      <c r="F8">
        <f>RALDataSummary!C13-32</f>
        <v>-62.799</v>
      </c>
      <c r="G8">
        <f>RALDataSummary!D13</f>
        <v>1.017</v>
      </c>
    </row>
    <row r="9" spans="1:7" ht="10.5">
      <c r="A9">
        <f>GlobalFrame!A9</f>
        <v>5</v>
      </c>
      <c r="B9">
        <f>RALDataSummary!J14-64</f>
        <v>-3.399000000000001</v>
      </c>
      <c r="C9">
        <f>RALDataSummary!K14+32</f>
        <v>1.2000000000000028</v>
      </c>
      <c r="D9">
        <f>-RALDataSummary!L14</f>
        <v>-0.115</v>
      </c>
      <c r="E9">
        <f>RALDataSummary!B14-64</f>
        <v>-3.3980000000000032</v>
      </c>
      <c r="F9">
        <f>RALDataSummary!C14-32</f>
        <v>-62.8</v>
      </c>
      <c r="G9">
        <f>RALDataSummary!D14</f>
        <v>1.023</v>
      </c>
    </row>
    <row r="10" spans="1:7" ht="10.5">
      <c r="A10">
        <f>GlobalFrame!A10</f>
        <v>6</v>
      </c>
      <c r="B10">
        <f>RALDataSummary!J15-64</f>
        <v>-60.999</v>
      </c>
      <c r="C10">
        <f>RALDataSummary!K15+32</f>
        <v>16.6</v>
      </c>
      <c r="D10">
        <f>-RALDataSummary!L15</f>
        <v>-0.128</v>
      </c>
      <c r="E10">
        <f>RALDataSummary!B15-64</f>
        <v>-60.998</v>
      </c>
      <c r="F10">
        <f>RALDataSummary!C15-32</f>
        <v>-47.4</v>
      </c>
      <c r="G10">
        <f>RALDataSummary!D15</f>
        <v>0.908</v>
      </c>
    </row>
    <row r="11" spans="1:7" ht="10.5">
      <c r="A11">
        <f>GlobalFrame!A11</f>
        <v>7</v>
      </c>
      <c r="B11">
        <f>RALDataSummary!J16-64</f>
        <v>-46.599000000000004</v>
      </c>
      <c r="C11">
        <f>RALDataSummary!K16+32</f>
        <v>16.6</v>
      </c>
      <c r="D11">
        <f>-RALDataSummary!L16</f>
        <v>-0.136</v>
      </c>
      <c r="E11">
        <f>RALDataSummary!B16-64</f>
        <v>-46.598</v>
      </c>
      <c r="F11">
        <f>RALDataSummary!C16-32</f>
        <v>-47.4</v>
      </c>
      <c r="G11">
        <f>RALDataSummary!D16</f>
        <v>0.956</v>
      </c>
    </row>
    <row r="12" spans="1:7" ht="10.5">
      <c r="A12">
        <f>GlobalFrame!A12</f>
        <v>8</v>
      </c>
      <c r="B12">
        <f>RALDataSummary!J17-64</f>
        <v>-32.2</v>
      </c>
      <c r="C12">
        <f>RALDataSummary!K17+32</f>
        <v>16.6</v>
      </c>
      <c r="D12">
        <f>-RALDataSummary!L17</f>
        <v>-0.137</v>
      </c>
      <c r="E12">
        <f>RALDataSummary!B17-64</f>
        <v>-32.198</v>
      </c>
      <c r="F12">
        <f>RALDataSummary!C17-32</f>
        <v>-47.4</v>
      </c>
      <c r="G12">
        <f>RALDataSummary!D17</f>
        <v>0.984</v>
      </c>
    </row>
    <row r="13" spans="1:7" ht="10.5">
      <c r="A13">
        <f>GlobalFrame!A13</f>
        <v>9</v>
      </c>
      <c r="B13">
        <f>RALDataSummary!J18-64</f>
        <v>-17.799999999999997</v>
      </c>
      <c r="C13">
        <f>RALDataSummary!K18+32</f>
        <v>16.6</v>
      </c>
      <c r="D13">
        <f>-RALDataSummary!L18</f>
        <v>-0.121</v>
      </c>
      <c r="E13">
        <f>RALDataSummary!B18-64</f>
        <v>-17.798000000000002</v>
      </c>
      <c r="F13">
        <f>RALDataSummary!C18-32</f>
        <v>-47.4</v>
      </c>
      <c r="G13">
        <f>RALDataSummary!D18</f>
        <v>0.999</v>
      </c>
    </row>
    <row r="14" spans="1:7" ht="10.5">
      <c r="A14">
        <f>GlobalFrame!A14</f>
        <v>10</v>
      </c>
      <c r="B14">
        <f>RALDataSummary!J19-64</f>
        <v>-3.399000000000001</v>
      </c>
      <c r="C14">
        <f>RALDataSummary!K19+32</f>
        <v>16.6</v>
      </c>
      <c r="D14">
        <f>-RALDataSummary!L19</f>
        <v>-0.102</v>
      </c>
      <c r="E14">
        <f>RALDataSummary!B19-64</f>
        <v>-3.3980000000000032</v>
      </c>
      <c r="F14">
        <f>RALDataSummary!C19-32</f>
        <v>-47.4</v>
      </c>
      <c r="G14">
        <f>RALDataSummary!D19</f>
        <v>1.008</v>
      </c>
    </row>
    <row r="15" spans="1:7" ht="10.5">
      <c r="A15">
        <f>GlobalFrame!A15</f>
        <v>11</v>
      </c>
      <c r="B15">
        <f>RALDataSummary!J20-64</f>
        <v>-61</v>
      </c>
      <c r="C15">
        <f>RALDataSummary!K20+32</f>
        <v>32</v>
      </c>
      <c r="D15">
        <f>-RALDataSummary!L20</f>
        <v>-0.133</v>
      </c>
      <c r="E15">
        <f>RALDataSummary!B20-64</f>
        <v>-60.998</v>
      </c>
      <c r="F15">
        <f>RALDataSummary!C20-32</f>
        <v>-31.999</v>
      </c>
      <c r="G15">
        <f>RALDataSummary!D20</f>
        <v>0.916</v>
      </c>
    </row>
    <row r="16" spans="1:7" ht="10.5">
      <c r="A16">
        <f>GlobalFrame!A16</f>
        <v>12</v>
      </c>
      <c r="B16">
        <f>RALDataSummary!J21-64</f>
        <v>-46.599000000000004</v>
      </c>
      <c r="C16">
        <f>RALDataSummary!K21+32</f>
        <v>32</v>
      </c>
      <c r="D16">
        <f>-RALDataSummary!L21</f>
        <v>-0.141</v>
      </c>
      <c r="E16">
        <f>RALDataSummary!B21-64</f>
        <v>-46.598</v>
      </c>
      <c r="F16">
        <f>RALDataSummary!C21-32</f>
        <v>-32</v>
      </c>
      <c r="G16">
        <f>RALDataSummary!D21</f>
        <v>0.956</v>
      </c>
    </row>
    <row r="17" spans="1:7" ht="10.5">
      <c r="A17">
        <f>GlobalFrame!A17</f>
        <v>13</v>
      </c>
      <c r="B17">
        <f>RALDataSummary!J22-64</f>
        <v>-32.2</v>
      </c>
      <c r="C17">
        <f>RALDataSummary!K22+32</f>
        <v>32</v>
      </c>
      <c r="D17">
        <f>-RALDataSummary!L22</f>
        <v>-0.134</v>
      </c>
      <c r="E17">
        <f>RALDataSummary!B22-64</f>
        <v>-32.198</v>
      </c>
      <c r="F17">
        <f>RALDataSummary!C22-32</f>
        <v>-32</v>
      </c>
      <c r="G17">
        <f>RALDataSummary!D22</f>
        <v>0.986</v>
      </c>
    </row>
    <row r="18" spans="1:7" ht="10.5">
      <c r="A18">
        <f>GlobalFrame!A18</f>
        <v>14</v>
      </c>
      <c r="B18">
        <f>RALDataSummary!J23-64</f>
        <v>-17.799999999999997</v>
      </c>
      <c r="C18">
        <f>RALDataSummary!K23+32</f>
        <v>32</v>
      </c>
      <c r="D18">
        <f>-RALDataSummary!L23</f>
        <v>-0.123</v>
      </c>
      <c r="E18">
        <f>RALDataSummary!B23-64</f>
        <v>-17.798000000000002</v>
      </c>
      <c r="F18">
        <f>RALDataSummary!C23-32</f>
        <v>-31.999</v>
      </c>
      <c r="G18">
        <f>RALDataSummary!D23</f>
        <v>1.006</v>
      </c>
    </row>
    <row r="19" spans="1:7" ht="10.5">
      <c r="A19">
        <f>GlobalFrame!A19</f>
        <v>15</v>
      </c>
      <c r="B19">
        <f>RALDataSummary!J24-64</f>
        <v>-3.3999999999999986</v>
      </c>
      <c r="C19">
        <f>RALDataSummary!K24+32</f>
        <v>31.999</v>
      </c>
      <c r="D19">
        <f>-RALDataSummary!L24</f>
        <v>-0.103</v>
      </c>
      <c r="E19">
        <f>RALDataSummary!B24-64</f>
        <v>-3.3980000000000032</v>
      </c>
      <c r="F19">
        <f>RALDataSummary!C24-32</f>
        <v>-32</v>
      </c>
      <c r="G19">
        <f>RALDataSummary!D24</f>
        <v>1.013</v>
      </c>
    </row>
    <row r="20" spans="1:7" ht="10.5">
      <c r="A20">
        <f>GlobalFrame!A20</f>
        <v>16</v>
      </c>
      <c r="B20">
        <f>RALDataSummary!J25-64</f>
        <v>-61</v>
      </c>
      <c r="C20">
        <f>RALDataSummary!K25+32</f>
        <v>47.4</v>
      </c>
      <c r="D20">
        <f>-RALDataSummary!L25</f>
        <v>-0.13</v>
      </c>
      <c r="E20">
        <f>RALDataSummary!B25-64</f>
        <v>-60.998</v>
      </c>
      <c r="F20">
        <f>RALDataSummary!C25-32</f>
        <v>-16.6</v>
      </c>
      <c r="G20">
        <f>RALDataSummary!D25</f>
        <v>0.919</v>
      </c>
    </row>
    <row r="21" spans="1:7" ht="10.5">
      <c r="A21">
        <f>GlobalFrame!A21</f>
        <v>17</v>
      </c>
      <c r="B21">
        <f>RALDataSummary!J26-64</f>
        <v>-46.599000000000004</v>
      </c>
      <c r="C21">
        <f>RALDataSummary!K26+32</f>
        <v>47.4</v>
      </c>
      <c r="D21">
        <f>-RALDataSummary!L26</f>
        <v>-0.14</v>
      </c>
      <c r="E21">
        <f>RALDataSummary!B26-64</f>
        <v>-46.598</v>
      </c>
      <c r="F21">
        <f>RALDataSummary!C26-32</f>
        <v>-16.6</v>
      </c>
      <c r="G21">
        <f>RALDataSummary!D26</f>
        <v>0.957</v>
      </c>
    </row>
    <row r="22" spans="1:7" ht="10.5">
      <c r="A22">
        <f>GlobalFrame!A22</f>
        <v>18</v>
      </c>
      <c r="B22">
        <f>RALDataSummary!J27-64</f>
        <v>-32.2</v>
      </c>
      <c r="C22">
        <f>RALDataSummary!K27+32</f>
        <v>47.4</v>
      </c>
      <c r="D22">
        <f>-RALDataSummary!L27</f>
        <v>-0.131</v>
      </c>
      <c r="E22">
        <f>RALDataSummary!B27-64</f>
        <v>-32.198</v>
      </c>
      <c r="F22">
        <f>RALDataSummary!C27-32</f>
        <v>-16.6</v>
      </c>
      <c r="G22">
        <f>RALDataSummary!D27</f>
        <v>0.984</v>
      </c>
    </row>
    <row r="23" spans="1:7" ht="10.5">
      <c r="A23">
        <f>GlobalFrame!A23</f>
        <v>19</v>
      </c>
      <c r="B23">
        <f>RALDataSummary!J28-64</f>
        <v>-17.799999999999997</v>
      </c>
      <c r="C23">
        <f>RALDataSummary!K28+32</f>
        <v>47.4</v>
      </c>
      <c r="D23">
        <f>-RALDataSummary!L28</f>
        <v>-0.117</v>
      </c>
      <c r="E23">
        <f>RALDataSummary!B28-64</f>
        <v>-17.798000000000002</v>
      </c>
      <c r="F23">
        <f>RALDataSummary!C28-32</f>
        <v>-16.6</v>
      </c>
      <c r="G23">
        <f>RALDataSummary!D28</f>
        <v>1.006</v>
      </c>
    </row>
    <row r="24" spans="1:7" ht="10.5">
      <c r="A24">
        <f>GlobalFrame!A24</f>
        <v>20</v>
      </c>
      <c r="B24">
        <f>RALDataSummary!J29-64</f>
        <v>-3.3999999999999986</v>
      </c>
      <c r="C24">
        <f>RALDataSummary!K29+32</f>
        <v>47.4</v>
      </c>
      <c r="D24">
        <f>-RALDataSummary!L29</f>
        <v>-0.109</v>
      </c>
      <c r="E24">
        <f>RALDataSummary!B29-64</f>
        <v>-3.3980000000000032</v>
      </c>
      <c r="F24">
        <f>RALDataSummary!C29-32</f>
        <v>-16.6</v>
      </c>
      <c r="G24">
        <f>RALDataSummary!D29</f>
        <v>1.011</v>
      </c>
    </row>
    <row r="25" spans="1:7" ht="10.5">
      <c r="A25">
        <f>GlobalFrame!A25</f>
        <v>21</v>
      </c>
      <c r="B25">
        <f>RALDataSummary!J30-64</f>
        <v>-60.999</v>
      </c>
      <c r="C25">
        <f>RALDataSummary!K30+32</f>
        <v>62.799</v>
      </c>
      <c r="D25">
        <f>-RALDataSummary!L30</f>
        <v>-0.142</v>
      </c>
      <c r="E25">
        <f>RALDataSummary!B30-64</f>
        <v>-60.998</v>
      </c>
      <c r="F25">
        <f>RALDataSummary!C30-32</f>
        <v>-1.2000000000000028</v>
      </c>
      <c r="G25">
        <f>RALDataSummary!D30</f>
        <v>0.915</v>
      </c>
    </row>
    <row r="26" spans="1:7" ht="10.5">
      <c r="A26">
        <f>GlobalFrame!A26</f>
        <v>22</v>
      </c>
      <c r="B26">
        <f>RALDataSummary!J31-64</f>
        <v>-46.6</v>
      </c>
      <c r="C26">
        <f>RALDataSummary!K31+32</f>
        <v>62.8</v>
      </c>
      <c r="D26">
        <f>-RALDataSummary!L31</f>
        <v>-0.149</v>
      </c>
      <c r="E26">
        <f>RALDataSummary!B31-64</f>
        <v>-46.598</v>
      </c>
      <c r="F26">
        <f>RALDataSummary!C31-32</f>
        <v>-1.2000000000000028</v>
      </c>
      <c r="G26">
        <f>RALDataSummary!D31</f>
        <v>0.96</v>
      </c>
    </row>
    <row r="27" spans="1:7" ht="10.5">
      <c r="A27">
        <f>GlobalFrame!A27</f>
        <v>23</v>
      </c>
      <c r="B27">
        <f>RALDataSummary!J32-64</f>
        <v>-32.199</v>
      </c>
      <c r="C27">
        <f>RALDataSummary!K32+32</f>
        <v>62.8</v>
      </c>
      <c r="D27">
        <f>-RALDataSummary!L32</f>
        <v>-0.142</v>
      </c>
      <c r="E27">
        <f>RALDataSummary!B32-64</f>
        <v>-32.198</v>
      </c>
      <c r="F27">
        <f>RALDataSummary!C32-32</f>
        <v>-1.198999999999998</v>
      </c>
      <c r="G27">
        <f>RALDataSummary!D32</f>
        <v>0.987</v>
      </c>
    </row>
    <row r="28" spans="1:7" ht="10.5">
      <c r="A28">
        <f>GlobalFrame!A28</f>
        <v>24</v>
      </c>
      <c r="B28">
        <f>RALDataSummary!J33-64</f>
        <v>-17.799</v>
      </c>
      <c r="C28">
        <f>RALDataSummary!K33+32</f>
        <v>62.8</v>
      </c>
      <c r="D28">
        <f>-RALDataSummary!L33</f>
        <v>-0.125</v>
      </c>
      <c r="E28">
        <f>RALDataSummary!B33-64</f>
        <v>-17.798000000000002</v>
      </c>
      <c r="F28">
        <f>RALDataSummary!C33-32</f>
        <v>-1.2000000000000028</v>
      </c>
      <c r="G28">
        <f>RALDataSummary!D33</f>
        <v>1.007</v>
      </c>
    </row>
    <row r="29" spans="1:7" ht="10.5">
      <c r="A29">
        <f>GlobalFrame!A29</f>
        <v>25</v>
      </c>
      <c r="B29">
        <f>RALDataSummary!J34-64</f>
        <v>-3.399000000000001</v>
      </c>
      <c r="C29">
        <f>RALDataSummary!K34+32</f>
        <v>62.8</v>
      </c>
      <c r="D29">
        <f>-RALDataSummary!L34</f>
        <v>-0.108</v>
      </c>
      <c r="E29">
        <f>RALDataSummary!B34-64</f>
        <v>-3.3980000000000032</v>
      </c>
      <c r="F29">
        <f>RALDataSummary!C34-32</f>
        <v>-1.2000000000000028</v>
      </c>
      <c r="G29">
        <f>RALDataSummary!D34</f>
        <v>1.021</v>
      </c>
    </row>
    <row r="30" spans="1:7" ht="10.5">
      <c r="A30" t="str">
        <f>GlobalFrame!A30</f>
        <v>RightSensor</v>
      </c>
      <c r="B30" t="str">
        <f>GlobalFrame!B30</f>
        <v>x</v>
      </c>
      <c r="C30" t="str">
        <f>GlobalFrame!C30</f>
        <v>y</v>
      </c>
      <c r="D30" t="str">
        <f>GlobalFrame!D30</f>
        <v>z</v>
      </c>
      <c r="E30" t="str">
        <f>GlobalFrame!E30</f>
        <v>x</v>
      </c>
      <c r="F30" t="str">
        <f>GlobalFrame!F30</f>
        <v>y</v>
      </c>
      <c r="G30" t="str">
        <f>GlobalFrame!G30</f>
        <v>z</v>
      </c>
    </row>
    <row r="31" spans="1:7" ht="10.5">
      <c r="A31">
        <f>GlobalFrame!A31</f>
        <v>1</v>
      </c>
      <c r="B31">
        <f>RALDataSummary!N10-64</f>
        <v>2.0859999999999985</v>
      </c>
      <c r="C31">
        <f>RALDataSummary!O10+32</f>
        <v>1.2000000000000028</v>
      </c>
      <c r="D31">
        <f>-RALDataSummary!P10</f>
        <v>-0.096</v>
      </c>
      <c r="E31">
        <f>RALDataSummary!F10-64</f>
        <v>2.117999999999995</v>
      </c>
      <c r="F31">
        <f>RALDataSummary!G10-32</f>
        <v>-62.799</v>
      </c>
      <c r="G31">
        <f>RALDataSummary!H10</f>
        <v>1.018</v>
      </c>
    </row>
    <row r="32" spans="1:7" ht="10.5">
      <c r="A32">
        <f>GlobalFrame!A32</f>
        <v>2</v>
      </c>
      <c r="B32">
        <f>RALDataSummary!N11-64</f>
        <v>16.9825</v>
      </c>
      <c r="C32">
        <f>RALDataSummary!O11+32</f>
        <v>1.2000000000000028</v>
      </c>
      <c r="D32">
        <f>-RALDataSummary!P11</f>
        <v>-0.1005</v>
      </c>
      <c r="E32">
        <f>RALDataSummary!F11-64</f>
        <v>17.004999999999995</v>
      </c>
      <c r="F32">
        <f>RALDataSummary!G11-32</f>
        <v>-62.798500000000004</v>
      </c>
      <c r="G32">
        <f>RALDataSummary!H11</f>
        <v>1.0245</v>
      </c>
    </row>
    <row r="33" spans="1:7" ht="10.5">
      <c r="A33">
        <f>GlobalFrame!A33</f>
        <v>3</v>
      </c>
      <c r="B33">
        <f>RALDataSummary!N12-64</f>
        <v>31.879000000000005</v>
      </c>
      <c r="C33">
        <f>RALDataSummary!O12+32</f>
        <v>1.2000000000000028</v>
      </c>
      <c r="D33">
        <f>-RALDataSummary!P12</f>
        <v>-0.105</v>
      </c>
      <c r="E33">
        <f>RALDataSummary!F12-64</f>
        <v>31.891999999999996</v>
      </c>
      <c r="F33">
        <f>RALDataSummary!G12-32</f>
        <v>-62.798</v>
      </c>
      <c r="G33">
        <f>RALDataSummary!H12</f>
        <v>1.031</v>
      </c>
    </row>
    <row r="34" spans="1:7" ht="10.5">
      <c r="A34">
        <f>GlobalFrame!A34</f>
        <v>4</v>
      </c>
      <c r="B34">
        <f>RALDataSummary!N13-64</f>
        <v>46.278999999999996</v>
      </c>
      <c r="C34">
        <f>RALDataSummary!O13+32</f>
        <v>1.2000000000000028</v>
      </c>
      <c r="D34">
        <f>-RALDataSummary!P13</f>
        <v>-0.095</v>
      </c>
      <c r="E34">
        <f>RALDataSummary!F13-64</f>
        <v>46.292</v>
      </c>
      <c r="F34">
        <f>RALDataSummary!G13-32</f>
        <v>-62.798</v>
      </c>
      <c r="G34">
        <f>RALDataSummary!H13</f>
        <v>1.023</v>
      </c>
    </row>
    <row r="35" spans="1:7" ht="10.5">
      <c r="A35">
        <f>GlobalFrame!A35</f>
        <v>5</v>
      </c>
      <c r="B35">
        <f>RALDataSummary!N14-64</f>
        <v>60.679</v>
      </c>
      <c r="C35">
        <f>RALDataSummary!O14+32</f>
        <v>1.2000000000000028</v>
      </c>
      <c r="D35">
        <f>-RALDataSummary!P14</f>
        <v>-0.075</v>
      </c>
      <c r="E35">
        <f>RALDataSummary!F14-64</f>
        <v>60.69199999999999</v>
      </c>
      <c r="F35">
        <f>RALDataSummary!G14-32</f>
        <v>-62.798</v>
      </c>
      <c r="G35">
        <f>RALDataSummary!H14</f>
        <v>1.002</v>
      </c>
    </row>
    <row r="36" spans="1:7" ht="10.5">
      <c r="A36">
        <f>GlobalFrame!A36</f>
        <v>6</v>
      </c>
      <c r="B36">
        <f>RALDataSummary!N15-64</f>
        <v>2.0859999999999985</v>
      </c>
      <c r="C36">
        <f>RALDataSummary!O15+32</f>
        <v>16.6</v>
      </c>
      <c r="D36">
        <f>-RALDataSummary!P15</f>
        <v>-0.097</v>
      </c>
      <c r="E36">
        <f>RALDataSummary!F15-64</f>
        <v>2.117999999999995</v>
      </c>
      <c r="F36">
        <f>RALDataSummary!G15-32</f>
        <v>-47.399</v>
      </c>
      <c r="G36">
        <f>RALDataSummary!H15</f>
        <v>1.015</v>
      </c>
    </row>
    <row r="37" spans="1:7" ht="10.5">
      <c r="A37">
        <f>GlobalFrame!A37</f>
        <v>7</v>
      </c>
      <c r="B37">
        <f>RALDataSummary!N16-64</f>
        <v>16.9825</v>
      </c>
      <c r="C37">
        <f>RALDataSummary!O16+32</f>
        <v>16.5995</v>
      </c>
      <c r="D37">
        <f>-RALDataSummary!P16</f>
        <v>-0.1015</v>
      </c>
      <c r="E37">
        <f>RALDataSummary!F16-64</f>
        <v>17.004999999999995</v>
      </c>
      <c r="F37">
        <f>RALDataSummary!G16-32</f>
        <v>-47.3985</v>
      </c>
      <c r="G37">
        <f>RALDataSummary!H16</f>
        <v>1.015</v>
      </c>
    </row>
    <row r="38" spans="1:7" ht="10.5">
      <c r="A38">
        <f>GlobalFrame!A38</f>
        <v>8</v>
      </c>
      <c r="B38">
        <f>RALDataSummary!N17-64</f>
        <v>31.879000000000005</v>
      </c>
      <c r="C38">
        <f>RALDataSummary!O17+32</f>
        <v>16.598999999999997</v>
      </c>
      <c r="D38">
        <f>-RALDataSummary!P17</f>
        <v>-0.106</v>
      </c>
      <c r="E38">
        <f>RALDataSummary!F17-64</f>
        <v>31.891999999999996</v>
      </c>
      <c r="F38">
        <f>RALDataSummary!G17-32</f>
        <v>-47.397999999999996</v>
      </c>
      <c r="G38">
        <f>RALDataSummary!H17</f>
        <v>1.015</v>
      </c>
    </row>
    <row r="39" spans="1:7" ht="10.5">
      <c r="A39">
        <f>GlobalFrame!A39</f>
        <v>9</v>
      </c>
      <c r="B39">
        <f>RALDataSummary!N18-64</f>
        <v>46.278999999999996</v>
      </c>
      <c r="C39">
        <f>RALDataSummary!O18+32</f>
        <v>16.6</v>
      </c>
      <c r="D39">
        <f>-RALDataSummary!P18</f>
        <v>-0.097</v>
      </c>
      <c r="E39">
        <f>RALDataSummary!F18-64</f>
        <v>46.292</v>
      </c>
      <c r="F39">
        <f>RALDataSummary!G18-32</f>
        <v>-47.397999999999996</v>
      </c>
      <c r="G39">
        <f>RALDataSummary!H18</f>
        <v>1.002</v>
      </c>
    </row>
    <row r="40" spans="1:7" ht="10.5">
      <c r="A40">
        <f>GlobalFrame!A40</f>
        <v>10</v>
      </c>
      <c r="B40">
        <f>RALDataSummary!N19-64</f>
        <v>60.679</v>
      </c>
      <c r="C40">
        <f>RALDataSummary!O19+32</f>
        <v>16.6</v>
      </c>
      <c r="D40">
        <f>-RALDataSummary!P19</f>
        <v>-0.078</v>
      </c>
      <c r="E40">
        <f>RALDataSummary!F19-64</f>
        <v>60.69199999999999</v>
      </c>
      <c r="F40">
        <f>RALDataSummary!G19-32</f>
        <v>-47.397999999999996</v>
      </c>
      <c r="G40">
        <f>RALDataSummary!H19</f>
        <v>0.981</v>
      </c>
    </row>
    <row r="41" spans="1:7" ht="10.5">
      <c r="A41">
        <f>GlobalFrame!A41</f>
        <v>11</v>
      </c>
      <c r="B41">
        <f>RALDataSummary!N20-64</f>
        <v>2.0859999999999985</v>
      </c>
      <c r="C41">
        <f>RALDataSummary!O20+32</f>
        <v>32</v>
      </c>
      <c r="D41">
        <f>-RALDataSummary!P20</f>
        <v>-0.1</v>
      </c>
      <c r="E41">
        <f>RALDataSummary!F20-64</f>
        <v>2.117999999999995</v>
      </c>
      <c r="F41">
        <f>RALDataSummary!G20-32</f>
        <v>-31.999</v>
      </c>
      <c r="G41">
        <f>RALDataSummary!H20</f>
        <v>1.014</v>
      </c>
    </row>
    <row r="42" spans="1:7" ht="10.5">
      <c r="A42">
        <f>GlobalFrame!A42</f>
        <v>12</v>
      </c>
      <c r="B42">
        <f>RALDataSummary!N21-64</f>
        <v>16.9825</v>
      </c>
      <c r="C42">
        <f>RALDataSummary!O21+32</f>
        <v>32</v>
      </c>
      <c r="D42">
        <f>-RALDataSummary!P21</f>
        <v>-0.10300000000000001</v>
      </c>
      <c r="E42">
        <f>RALDataSummary!F21-64</f>
        <v>17.004999999999995</v>
      </c>
      <c r="F42">
        <f>RALDataSummary!G21-32</f>
        <v>-31.9985</v>
      </c>
      <c r="G42">
        <f>RALDataSummary!H21</f>
        <v>1.016</v>
      </c>
    </row>
    <row r="43" spans="1:7" ht="10.5">
      <c r="A43">
        <f>GlobalFrame!A43</f>
        <v>13</v>
      </c>
      <c r="B43">
        <f>RALDataSummary!N22-64</f>
        <v>31.879000000000005</v>
      </c>
      <c r="C43">
        <f>RALDataSummary!O22+32</f>
        <v>32</v>
      </c>
      <c r="D43">
        <f>-RALDataSummary!P22</f>
        <v>-0.106</v>
      </c>
      <c r="E43">
        <f>RALDataSummary!F22-64</f>
        <v>31.891999999999996</v>
      </c>
      <c r="F43">
        <f>RALDataSummary!G22-32</f>
        <v>-31.998</v>
      </c>
      <c r="G43">
        <f>RALDataSummary!H22</f>
        <v>1.018</v>
      </c>
    </row>
    <row r="44" spans="1:7" ht="10.5">
      <c r="A44">
        <f>GlobalFrame!A44</f>
        <v>14</v>
      </c>
      <c r="B44">
        <f>RALDataSummary!N23-64</f>
        <v>46.278999999999996</v>
      </c>
      <c r="C44">
        <f>RALDataSummary!O23+32</f>
        <v>32</v>
      </c>
      <c r="D44">
        <f>-RALDataSummary!P23</f>
        <v>-0.105</v>
      </c>
      <c r="E44">
        <f>RALDataSummary!F23-64</f>
        <v>46.292</v>
      </c>
      <c r="F44">
        <f>RALDataSummary!G23-32</f>
        <v>-31.998</v>
      </c>
      <c r="G44">
        <f>RALDataSummary!H23</f>
        <v>1.01</v>
      </c>
    </row>
    <row r="45" spans="1:7" ht="10.5">
      <c r="A45">
        <f>GlobalFrame!A45</f>
        <v>15</v>
      </c>
      <c r="B45">
        <f>RALDataSummary!N24-64</f>
        <v>60.679</v>
      </c>
      <c r="C45">
        <f>RALDataSummary!O24+32</f>
        <v>32</v>
      </c>
      <c r="D45">
        <f>-RALDataSummary!P24</f>
        <v>-0.084</v>
      </c>
      <c r="E45">
        <f>RALDataSummary!F24-64</f>
        <v>60.69199999999999</v>
      </c>
      <c r="F45">
        <f>RALDataSummary!G24-32</f>
        <v>-31.998</v>
      </c>
      <c r="G45">
        <f>RALDataSummary!H24</f>
        <v>0.988</v>
      </c>
    </row>
    <row r="46" spans="1:7" ht="10.5">
      <c r="A46">
        <f>GlobalFrame!A46</f>
        <v>16</v>
      </c>
      <c r="B46">
        <f>RALDataSummary!N25-64</f>
        <v>2.0859999999999985</v>
      </c>
      <c r="C46">
        <f>RALDataSummary!O25+32</f>
        <v>47.4</v>
      </c>
      <c r="D46">
        <f>-RALDataSummary!P25</f>
        <v>-0.095</v>
      </c>
      <c r="E46">
        <f>RALDataSummary!F25-64</f>
        <v>2.117999999999995</v>
      </c>
      <c r="F46">
        <f>RALDataSummary!G25-32</f>
        <v>-16.598999999999997</v>
      </c>
      <c r="G46">
        <f>RALDataSummary!H25</f>
        <v>1.014</v>
      </c>
    </row>
    <row r="47" spans="1:7" ht="10.5">
      <c r="A47">
        <f>GlobalFrame!A47</f>
        <v>17</v>
      </c>
      <c r="B47">
        <f>RALDataSummary!N26-64</f>
        <v>16.9825</v>
      </c>
      <c r="C47">
        <f>RALDataSummary!O26+32</f>
        <v>47.4</v>
      </c>
      <c r="D47">
        <f>-RALDataSummary!P26</f>
        <v>-0.1005</v>
      </c>
      <c r="E47">
        <f>RALDataSummary!F26-64</f>
        <v>17.004999999999995</v>
      </c>
      <c r="F47">
        <f>RALDataSummary!G26-32</f>
        <v>-16.598499999999998</v>
      </c>
      <c r="G47">
        <f>RALDataSummary!H26</f>
        <v>1.0145</v>
      </c>
    </row>
    <row r="48" spans="1:7" ht="10.5">
      <c r="A48">
        <f>GlobalFrame!A48</f>
        <v>18</v>
      </c>
      <c r="B48">
        <f>RALDataSummary!N27-64</f>
        <v>31.879000000000005</v>
      </c>
      <c r="C48">
        <f>RALDataSummary!O27+32</f>
        <v>47.4</v>
      </c>
      <c r="D48">
        <f>-RALDataSummary!P27</f>
        <v>-0.106</v>
      </c>
      <c r="E48">
        <f>RALDataSummary!F27-64</f>
        <v>31.891999999999996</v>
      </c>
      <c r="F48">
        <f>RALDataSummary!G27-32</f>
        <v>-16.598</v>
      </c>
      <c r="G48">
        <f>RALDataSummary!H27</f>
        <v>1.015</v>
      </c>
    </row>
    <row r="49" spans="1:7" ht="10.5">
      <c r="A49">
        <f>GlobalFrame!A49</f>
        <v>19</v>
      </c>
      <c r="B49">
        <f>RALDataSummary!N28-64</f>
        <v>46.278999999999996</v>
      </c>
      <c r="C49">
        <f>RALDataSummary!O28+32</f>
        <v>47.4</v>
      </c>
      <c r="D49">
        <f>-RALDataSummary!P28</f>
        <v>-0.102</v>
      </c>
      <c r="E49">
        <f>RALDataSummary!F28-64</f>
        <v>46.292</v>
      </c>
      <c r="F49">
        <f>RALDataSummary!G28-32</f>
        <v>-16.598</v>
      </c>
      <c r="G49">
        <f>RALDataSummary!H28</f>
        <v>1.01</v>
      </c>
    </row>
    <row r="50" spans="1:7" ht="10.5">
      <c r="A50">
        <f>GlobalFrame!A50</f>
        <v>20</v>
      </c>
      <c r="B50">
        <f>RALDataSummary!N29-64</f>
        <v>60.678</v>
      </c>
      <c r="C50">
        <f>RALDataSummary!O29+32</f>
        <v>47.4</v>
      </c>
      <c r="D50">
        <f>-RALDataSummary!P29</f>
        <v>-0.08</v>
      </c>
      <c r="E50">
        <f>RALDataSummary!F29-64</f>
        <v>60.69199999999999</v>
      </c>
      <c r="F50">
        <f>RALDataSummary!G29-32</f>
        <v>-16.598</v>
      </c>
      <c r="G50">
        <f>RALDataSummary!H29</f>
        <v>0.993</v>
      </c>
    </row>
    <row r="51" spans="1:7" ht="10.5">
      <c r="A51">
        <f>GlobalFrame!A51</f>
        <v>21</v>
      </c>
      <c r="B51">
        <f>RALDataSummary!N30-64</f>
        <v>2.0859999999999985</v>
      </c>
      <c r="C51">
        <f>RALDataSummary!O30+32</f>
        <v>62.8</v>
      </c>
      <c r="D51">
        <f>-RALDataSummary!P30</f>
        <v>-0.099</v>
      </c>
      <c r="E51">
        <f>RALDataSummary!F30-64</f>
        <v>2.117999999999995</v>
      </c>
      <c r="F51">
        <f>RALDataSummary!G30-32</f>
        <v>-1.198999999999998</v>
      </c>
      <c r="G51">
        <f>RALDataSummary!H30</f>
        <v>1.014</v>
      </c>
    </row>
    <row r="52" spans="1:7" ht="10.5">
      <c r="A52">
        <f>GlobalFrame!A52</f>
        <v>22</v>
      </c>
      <c r="B52">
        <f>RALDataSummary!N31-64</f>
        <v>16.9825</v>
      </c>
      <c r="C52">
        <f>RALDataSummary!O31+32</f>
        <v>62.7995</v>
      </c>
      <c r="D52">
        <f>-RALDataSummary!P31</f>
        <v>-0.109</v>
      </c>
      <c r="E52">
        <f>RALDataSummary!F31-64</f>
        <v>17.004999999999995</v>
      </c>
      <c r="F52">
        <f>RALDataSummary!G31-32</f>
        <v>-1.1984999999999992</v>
      </c>
      <c r="G52">
        <f>RALDataSummary!H31</f>
        <v>1.016</v>
      </c>
    </row>
    <row r="53" spans="1:7" ht="10.5">
      <c r="A53">
        <f>GlobalFrame!A53</f>
        <v>23</v>
      </c>
      <c r="B53">
        <f>RALDataSummary!N32-64</f>
        <v>31.879000000000005</v>
      </c>
      <c r="C53">
        <f>RALDataSummary!O32+32</f>
        <v>62.799</v>
      </c>
      <c r="D53">
        <f>-RALDataSummary!P32</f>
        <v>-0.119</v>
      </c>
      <c r="E53">
        <f>RALDataSummary!F32-64</f>
        <v>31.891999999999996</v>
      </c>
      <c r="F53">
        <f>RALDataSummary!G32-32</f>
        <v>-1.1980000000000004</v>
      </c>
      <c r="G53">
        <f>RALDataSummary!H32</f>
        <v>1.018</v>
      </c>
    </row>
    <row r="54" spans="1:7" ht="10.5">
      <c r="A54">
        <f>GlobalFrame!A54</f>
        <v>24</v>
      </c>
      <c r="B54">
        <f>RALDataSummary!N33-64</f>
        <v>46.278000000000006</v>
      </c>
      <c r="C54">
        <f>RALDataSummary!O33+32</f>
        <v>62.8</v>
      </c>
      <c r="D54">
        <f>-RALDataSummary!P33</f>
        <v>-0.115</v>
      </c>
      <c r="E54">
        <f>RALDataSummary!F33-64</f>
        <v>46.292</v>
      </c>
      <c r="F54">
        <f>RALDataSummary!G33-32</f>
        <v>-1.1980000000000004</v>
      </c>
      <c r="G54">
        <f>RALDataSummary!H33</f>
        <v>1.009</v>
      </c>
    </row>
    <row r="55" spans="1:7" ht="10.5">
      <c r="A55">
        <f>GlobalFrame!A55</f>
        <v>25</v>
      </c>
      <c r="B55">
        <f>RALDataSummary!N34-64</f>
        <v>60.679</v>
      </c>
      <c r="C55">
        <f>RALDataSummary!O34+32</f>
        <v>62.8</v>
      </c>
      <c r="D55">
        <f>-RALDataSummary!P34</f>
        <v>-0.101</v>
      </c>
      <c r="E55">
        <f>RALDataSummary!F34-64</f>
        <v>60.691</v>
      </c>
      <c r="F55">
        <f>RALDataSummary!G34-32</f>
        <v>-1.1980000000000004</v>
      </c>
      <c r="G55">
        <f>RALDataSummary!H34</f>
        <v>0.996</v>
      </c>
    </row>
    <row r="56" spans="1:7" ht="10.5">
      <c r="A56" t="str">
        <f>GlobalFrame!A56</f>
        <v>Facings</v>
      </c>
      <c r="B56" t="str">
        <f>GlobalFrame!B56</f>
        <v>x</v>
      </c>
      <c r="C56" t="str">
        <f>GlobalFrame!C56</f>
        <v>y</v>
      </c>
      <c r="D56" t="str">
        <f>GlobalFrame!D56</f>
        <v>z</v>
      </c>
      <c r="E56" t="str">
        <f>GlobalFrame!E56</f>
        <v>x</v>
      </c>
      <c r="F56" t="str">
        <f>GlobalFrame!F56</f>
        <v>y</v>
      </c>
      <c r="G56" t="str">
        <f>GlobalFrame!G56</f>
        <v>z</v>
      </c>
    </row>
    <row r="57" spans="1:7" ht="10.5">
      <c r="A57">
        <f>GlobalFrame!A57</f>
        <v>1</v>
      </c>
      <c r="B57">
        <f>RALDataSummary!J90-64</f>
        <v>3.1880000000000024</v>
      </c>
      <c r="C57">
        <f>RALDataSummary!K90+32</f>
        <v>-3.0890000000000057</v>
      </c>
      <c r="D57">
        <f>RALDataSummary!L90</f>
        <v>-0.0030000000000000005</v>
      </c>
      <c r="E57">
        <f>RALDataSummary!B90-64</f>
        <v>-0.461666666666666</v>
      </c>
      <c r="F57">
        <f>RALDataSummary!C90-32</f>
        <v>2.7276666666666642</v>
      </c>
      <c r="G57">
        <f>RALDataSummary!D90</f>
        <v>0.9276666666666666</v>
      </c>
    </row>
    <row r="58" spans="1:7" ht="10.5">
      <c r="A58">
        <f>GlobalFrame!A58</f>
        <v>2</v>
      </c>
      <c r="B58">
        <f>RALDataSummary!J91-64</f>
        <v>0.5038333333333327</v>
      </c>
      <c r="C58">
        <f>RALDataSummary!K91+32</f>
        <v>72.44866666666667</v>
      </c>
      <c r="D58">
        <f>RALDataSummary!L91</f>
        <v>0.009499999999999998</v>
      </c>
      <c r="E58">
        <f>RALDataSummary!B91-64</f>
        <v>-0.10050000000000381</v>
      </c>
      <c r="F58">
        <f>RALDataSummary!C91-32</f>
        <v>-72.41266666666667</v>
      </c>
      <c r="G58">
        <f>RALDataSummary!D91</f>
        <v>0.9065</v>
      </c>
    </row>
    <row r="59" spans="1:7" ht="10.5">
      <c r="A59">
        <f>GlobalFrame!A59</f>
        <v>3</v>
      </c>
      <c r="B59">
        <f>RALDataSummary!J92-64</f>
        <v>29.501999999999995</v>
      </c>
      <c r="C59">
        <f>RALDataSummary!K92+32</f>
        <v>72.47</v>
      </c>
      <c r="D59">
        <f>RALDataSummary!L92</f>
        <v>0.003166666666666667</v>
      </c>
      <c r="E59">
        <f>RALDataSummary!B92-64</f>
        <v>32.49766666666666</v>
      </c>
      <c r="F59">
        <f>RALDataSummary!C92-32</f>
        <v>-72.41766666666666</v>
      </c>
      <c r="G59">
        <f>RALDataSummary!D92</f>
        <v>0.9065</v>
      </c>
    </row>
    <row r="60" spans="1:7" ht="10.5">
      <c r="A60" t="str">
        <f>GlobalFrame!A60</f>
        <v>facingPlane</v>
      </c>
      <c r="B60" t="str">
        <f>GlobalFrame!B60</f>
        <v>x</v>
      </c>
      <c r="C60" t="str">
        <f>GlobalFrame!C60</f>
        <v>y</v>
      </c>
      <c r="D60" t="str">
        <f>GlobalFrame!D60</f>
        <v>z</v>
      </c>
      <c r="E60" t="str">
        <f>GlobalFrame!E60</f>
        <v>x</v>
      </c>
      <c r="F60" t="str">
        <f>GlobalFrame!F60</f>
        <v>y</v>
      </c>
      <c r="G60" t="str">
        <f>GlobalFrame!G60</f>
        <v>z</v>
      </c>
    </row>
    <row r="61" spans="1:10" ht="10.5">
      <c r="A61">
        <f>GlobalFrame!A61</f>
        <v>1</v>
      </c>
      <c r="B61">
        <f>RALDataSummary!J100-64</f>
        <v>0.5035000000000025</v>
      </c>
      <c r="C61">
        <f>RALDataSummary!K100+32</f>
        <v>78.453</v>
      </c>
      <c r="D61">
        <f>RALDataSummary!L100</f>
        <v>0.013</v>
      </c>
      <c r="E61">
        <f>RALDataSummary!B100-64</f>
        <v>0.06300000000000239</v>
      </c>
      <c r="F61">
        <f>RALDataSummary!C100-32</f>
        <v>-78.39150000000001</v>
      </c>
      <c r="G61">
        <f>RALDataSummary!D100</f>
        <v>0.903</v>
      </c>
      <c r="I61" t="s">
        <v>354</v>
      </c>
      <c r="J61" s="26">
        <f>AVERAGE(D67,D68)-AVERAGE(D61:D66)</f>
        <v>0.005347222222222222</v>
      </c>
    </row>
    <row r="62" spans="1:12" ht="10.5">
      <c r="A62">
        <f>GlobalFrame!A62</f>
        <v>2</v>
      </c>
      <c r="B62">
        <f>RALDataSummary!J101-64</f>
        <v>0.5037500000000108</v>
      </c>
      <c r="C62">
        <f>RALDataSummary!K101+32</f>
        <v>75.45175</v>
      </c>
      <c r="D62">
        <f>RALDataSummary!L101</f>
        <v>0.012750000000000001</v>
      </c>
      <c r="E62">
        <f>RALDataSummary!B101-64</f>
        <v>-0.01850000000000307</v>
      </c>
      <c r="F62">
        <f>RALDataSummary!C101-32</f>
        <v>-75.40675</v>
      </c>
      <c r="G62">
        <f>RALDataSummary!D101</f>
        <v>0.9035000000000001</v>
      </c>
      <c r="J62" t="s">
        <v>355</v>
      </c>
      <c r="K62" t="s">
        <v>356</v>
      </c>
      <c r="L62" t="s">
        <v>357</v>
      </c>
    </row>
    <row r="63" spans="1:12" ht="10.5">
      <c r="A63">
        <f>GlobalFrame!A63</f>
        <v>3</v>
      </c>
      <c r="B63">
        <f>RALDataSummary!J102-64</f>
        <v>0.5038333333333327</v>
      </c>
      <c r="C63">
        <f>RALDataSummary!K102+32</f>
        <v>72.44866666666667</v>
      </c>
      <c r="D63">
        <f>RALDataSummary!L102</f>
        <v>0.009499999999999998</v>
      </c>
      <c r="E63">
        <f>RALDataSummary!B102-64</f>
        <v>-0.10050000000000381</v>
      </c>
      <c r="F63">
        <f>RALDataSummary!C102-32</f>
        <v>-72.41266666666667</v>
      </c>
      <c r="G63">
        <f>RALDataSummary!D102</f>
        <v>0.9065</v>
      </c>
      <c r="I63" t="s">
        <v>155</v>
      </c>
      <c r="J63" s="26">
        <f>AVERAGE(G74:G75)-AVERAGE(G57:G58)</f>
        <v>1.0734166666666667</v>
      </c>
      <c r="K63" s="26">
        <f>G74-G57</f>
        <v>1.0733333333333333</v>
      </c>
      <c r="L63" s="26">
        <f>G75-G58</f>
        <v>1.0735000000000001</v>
      </c>
    </row>
    <row r="64" spans="1:12" ht="10.5">
      <c r="A64">
        <f>GlobalFrame!A64</f>
        <v>4</v>
      </c>
      <c r="B64">
        <f>RALDataSummary!J103-64</f>
        <v>29.501999999999995</v>
      </c>
      <c r="C64">
        <f>RALDataSummary!K103+32</f>
        <v>78.471</v>
      </c>
      <c r="D64">
        <f>RALDataSummary!L103</f>
        <v>0.0055</v>
      </c>
      <c r="E64">
        <f>RALDataSummary!B103-64</f>
        <v>32.4975</v>
      </c>
      <c r="F64">
        <f>RALDataSummary!C103-32</f>
        <v>-78.4195</v>
      </c>
      <c r="G64">
        <f>RALDataSummary!D103</f>
        <v>0.9045000000000001</v>
      </c>
      <c r="I64" t="s">
        <v>358</v>
      </c>
      <c r="J64" s="26">
        <f>AVERAGE(G76:G77)-AVERAGE(G57:G59)</f>
        <v>1.1194444444444445</v>
      </c>
      <c r="K64" s="26">
        <f>G76-AVERAGE(G57:G59)</f>
        <v>1.1324444444444444</v>
      </c>
      <c r="L64" s="26">
        <f>G77-AVERAGE(G57:G59)</f>
        <v>1.1064444444444446</v>
      </c>
    </row>
    <row r="65" spans="1:12" ht="10.5">
      <c r="A65">
        <f>GlobalFrame!A65</f>
        <v>5</v>
      </c>
      <c r="B65">
        <f>RALDataSummary!J104-64</f>
        <v>29.501999999999995</v>
      </c>
      <c r="C65">
        <f>RALDataSummary!K104+32</f>
        <v>75.471</v>
      </c>
      <c r="D65">
        <f>RALDataSummary!L104</f>
        <v>0.005</v>
      </c>
      <c r="E65">
        <f>RALDataSummary!B104-64</f>
        <v>32.497749999999996</v>
      </c>
      <c r="F65">
        <f>RALDataSummary!C104-32</f>
        <v>-75.41875</v>
      </c>
      <c r="G65">
        <f>RALDataSummary!D104</f>
        <v>0.90525</v>
      </c>
      <c r="I65" t="s">
        <v>359</v>
      </c>
      <c r="J65" s="26">
        <f>AVERAGE(G78:G79)-G59</f>
        <v>1.1635000000000004</v>
      </c>
      <c r="K65" s="26">
        <f>G78-G59</f>
        <v>1.1545</v>
      </c>
      <c r="L65" s="26">
        <f>G79-G59</f>
        <v>1.1725000000000003</v>
      </c>
    </row>
    <row r="66" spans="1:12" ht="10.5">
      <c r="A66">
        <f>GlobalFrame!A66</f>
        <v>6</v>
      </c>
      <c r="B66">
        <f>RALDataSummary!J105-64</f>
        <v>29.501999999999995</v>
      </c>
      <c r="C66">
        <f>RALDataSummary!K105+32</f>
        <v>72.47</v>
      </c>
      <c r="D66">
        <f>RALDataSummary!L105</f>
        <v>0.003166666666666667</v>
      </c>
      <c r="E66">
        <f>RALDataSummary!B105-64</f>
        <v>32.49766666666666</v>
      </c>
      <c r="F66">
        <f>RALDataSummary!C105-32</f>
        <v>-72.41766666666666</v>
      </c>
      <c r="G66">
        <f>RALDataSummary!D105</f>
        <v>0.9065</v>
      </c>
      <c r="I66" t="s">
        <v>161</v>
      </c>
      <c r="J66" s="26">
        <f>-(AVERAGE(D74:D75)-AVERAGE(D57:D58))</f>
        <v>1.11925</v>
      </c>
      <c r="K66" s="26">
        <f>-(D74-D57)</f>
        <v>1.0970000000000002</v>
      </c>
      <c r="L66" s="26">
        <f>-(D75-D58)</f>
        <v>1.1415</v>
      </c>
    </row>
    <row r="67" spans="1:12" ht="10.5">
      <c r="A67">
        <f>GlobalFrame!A67</f>
        <v>7</v>
      </c>
      <c r="B67">
        <f>RALDataSummary!J106-64</f>
        <v>15.001000000000005</v>
      </c>
      <c r="C67">
        <f>RALDataSummary!K106+32</f>
        <v>72.457</v>
      </c>
      <c r="D67">
        <f>RALDataSummary!L106</f>
        <v>0.012</v>
      </c>
      <c r="I67" t="s">
        <v>360</v>
      </c>
      <c r="J67" s="26">
        <f>-(AVERAGE(D76:D77)-AVERAGE(D57:D59))</f>
        <v>1.1322222222222222</v>
      </c>
      <c r="K67" s="26">
        <f>-(D76-AVERAGE(D57:D59))</f>
        <v>1.1392222222222221</v>
      </c>
      <c r="L67" s="26">
        <f>-(D77-AVERAGE(D57:D59))</f>
        <v>1.1252222222222223</v>
      </c>
    </row>
    <row r="68" spans="1:12" ht="10.5">
      <c r="A68">
        <f>GlobalFrame!A68</f>
        <v>8</v>
      </c>
      <c r="B68">
        <f>RALDataSummary!J107-64</f>
        <v>15.001000000000005</v>
      </c>
      <c r="C68">
        <f>RALDataSummary!K107+32</f>
        <v>78.461</v>
      </c>
      <c r="D68">
        <f>RALDataSummary!L107</f>
        <v>0.015</v>
      </c>
      <c r="I68" t="s">
        <v>163</v>
      </c>
      <c r="J68" s="26">
        <f>-(AVERAGE(D78:D79)-D59)</f>
        <v>1.0971666666666668</v>
      </c>
      <c r="K68" s="26">
        <f>-(D78-D59)</f>
        <v>1.0971666666666668</v>
      </c>
      <c r="L68" s="26">
        <f>-(D79-D59)</f>
        <v>1.0971666666666668</v>
      </c>
    </row>
    <row r="69" spans="1:10" ht="10.5">
      <c r="A69" t="str">
        <f>GlobalFrame!A69</f>
        <v>zReference</v>
      </c>
      <c r="B69" t="str">
        <f>GlobalFrame!B69</f>
        <v>x</v>
      </c>
      <c r="C69" t="str">
        <f>GlobalFrame!C69</f>
        <v>y</v>
      </c>
      <c r="D69" t="str">
        <f>GlobalFrame!D69</f>
        <v>z</v>
      </c>
      <c r="E69" t="str">
        <f>GlobalFrame!E69</f>
        <v>x</v>
      </c>
      <c r="F69" t="str">
        <f>GlobalFrame!F69</f>
        <v>y</v>
      </c>
      <c r="G69" t="str">
        <f>GlobalFrame!G69</f>
        <v>z</v>
      </c>
      <c r="I69" t="s">
        <v>165</v>
      </c>
      <c r="J69" s="26">
        <f>J64-AVERAGE(J63,J65)</f>
        <v>0.00098611111111091</v>
      </c>
    </row>
    <row r="70" spans="1:10" ht="10.5">
      <c r="A70">
        <f>GlobalFrame!A70</f>
        <v>1</v>
      </c>
      <c r="B70">
        <f>GlobalFrame!B70</f>
        <v>-60.58882478437305</v>
      </c>
      <c r="C70">
        <f>GlobalFrame!C70</f>
        <v>-28.796066445388895</v>
      </c>
      <c r="D70">
        <f>GlobalFrame!D70-(Transformations!$R$33*GlobalFrame!B70+Transformations!$R$34*GlobalFrame!C70+Transformations!$R$35)*Transformations!$R$36</f>
        <v>0.7273596530573967</v>
      </c>
      <c r="E70">
        <f>GlobalFrame!E70</f>
        <v>-60.588424467201726</v>
      </c>
      <c r="F70">
        <f>GlobalFrame!F70</f>
        <v>-28.79408193478823</v>
      </c>
      <c r="G70">
        <f>GlobalFrame!G70-(Transformations!$R$33*GlobalFrame!E70+Transformations!$R$34*GlobalFrame!F70+Transformations!$R$35)*Transformations!$R$36</f>
        <v>1.0123591492518855</v>
      </c>
      <c r="I70" t="s">
        <v>168</v>
      </c>
      <c r="J70" s="26">
        <f>-(J65-AVERAGE(J64,J66))</f>
        <v>-0.04415277777777815</v>
      </c>
    </row>
    <row r="71" spans="1:10" ht="10.5">
      <c r="A71">
        <f>GlobalFrame!A71</f>
        <v>2</v>
      </c>
      <c r="B71">
        <f>GlobalFrame!B71</f>
        <v>59.38717812105356</v>
      </c>
      <c r="C71">
        <f>GlobalFrame!C71</f>
        <v>-31.195801188452563</v>
      </c>
      <c r="D71">
        <f>GlobalFrame!D71-(Transformations!$R$33*GlobalFrame!B71+Transformations!$R$34*GlobalFrame!C71+Transformations!$R$35)*Transformations!$R$36</f>
        <v>0.6682776406587272</v>
      </c>
      <c r="E71">
        <f>GlobalFrame!E71</f>
        <v>59.387578438224885</v>
      </c>
      <c r="F71">
        <f>GlobalFrame!F71</f>
        <v>-31.193816677851895</v>
      </c>
      <c r="G71">
        <f>GlobalFrame!G71-(Transformations!$R$33*GlobalFrame!E71+Transformations!$R$34*GlobalFrame!F71+Transformations!$R$35)*Transformations!$R$36</f>
        <v>0.9532771368532162</v>
      </c>
      <c r="I71" t="s">
        <v>176</v>
      </c>
      <c r="J71" s="26">
        <f>MAX(G80:G82)-AVERAGE(G57:G58)</f>
        <v>2.407916666666667</v>
      </c>
    </row>
    <row r="72" spans="1:10" ht="10.5">
      <c r="A72">
        <f>GlobalFrame!A72</f>
        <v>3</v>
      </c>
      <c r="B72">
        <f>GlobalFrame!B72</f>
        <v>60.58704549258539</v>
      </c>
      <c r="C72">
        <f>GlobalFrame!C72</f>
        <v>28.792200264260742</v>
      </c>
      <c r="D72">
        <f>GlobalFrame!D72-(Transformations!$R$33*GlobalFrame!B72+Transformations!$R$34*GlobalFrame!C72+Transformations!$R$35)*Transformations!$R$36</f>
        <v>0.6584502755840018</v>
      </c>
      <c r="E72">
        <f>GlobalFrame!E72</f>
        <v>60.58744580975672</v>
      </c>
      <c r="F72">
        <f>GlobalFrame!F72</f>
        <v>28.79418477486141</v>
      </c>
      <c r="G72">
        <f>GlobalFrame!G72-(Transformations!$R$33*GlobalFrame!E72+Transformations!$R$34*GlobalFrame!F72+Transformations!$R$35)*Transformations!$R$36</f>
        <v>0.9434497717784908</v>
      </c>
      <c r="I72" t="s">
        <v>180</v>
      </c>
      <c r="J72" s="26">
        <f>-(MIN(D80:D82)-AVERAGE(D57:D58))</f>
        <v>2.36125</v>
      </c>
    </row>
    <row r="73" spans="1:7" ht="10.5">
      <c r="A73" t="str">
        <f>GlobalFrame!A73</f>
        <v>hybrid</v>
      </c>
      <c r="B73" t="str">
        <f>GlobalFrame!B73</f>
        <v>x</v>
      </c>
      <c r="C73" t="str">
        <f>GlobalFrame!C73</f>
        <v>y</v>
      </c>
      <c r="D73" t="str">
        <f>GlobalFrame!D73</f>
        <v>z</v>
      </c>
      <c r="E73" t="str">
        <f>GlobalFrame!E73</f>
        <v>x</v>
      </c>
      <c r="F73" t="str">
        <f>GlobalFrame!F73</f>
        <v>y</v>
      </c>
      <c r="G73" t="str">
        <f>GlobalFrame!G73</f>
        <v>z</v>
      </c>
    </row>
    <row r="74" spans="1:7" ht="10.5">
      <c r="A74" t="str">
        <f>GlobalFrame!A74</f>
        <v>leftNear</v>
      </c>
      <c r="B74">
        <f>RALDataSummary!J40</f>
        <v>69.498</v>
      </c>
      <c r="C74">
        <f>RALDataSummary!K40</f>
        <v>34.167</v>
      </c>
      <c r="D74">
        <f>-RALDataSummary!L40</f>
        <v>-1.1</v>
      </c>
      <c r="E74">
        <f>RALDataSummary!B40</f>
        <v>69.51</v>
      </c>
      <c r="F74">
        <f>RALDataSummary!C40</f>
        <v>-36.551</v>
      </c>
      <c r="G74">
        <f>RALDataSummary!D40</f>
        <v>2.001</v>
      </c>
    </row>
    <row r="75" spans="1:7" ht="10.5">
      <c r="A75" t="str">
        <f>GlobalFrame!A75</f>
        <v>rightNear</v>
      </c>
      <c r="B75">
        <f>RALDataSummary!J41</f>
        <v>81.14</v>
      </c>
      <c r="C75">
        <f>RALDataSummary!K41</f>
        <v>34.577</v>
      </c>
      <c r="D75">
        <f>-RALDataSummary!L41</f>
        <v>-1.132</v>
      </c>
      <c r="E75">
        <f>RALDataSummary!B41</f>
        <v>89.039</v>
      </c>
      <c r="F75">
        <f>RALDataSummary!C41</f>
        <v>-36.595</v>
      </c>
      <c r="G75">
        <f>RALDataSummary!D41</f>
        <v>1.98</v>
      </c>
    </row>
    <row r="76" spans="1:7" ht="10.5">
      <c r="A76" t="str">
        <f>GlobalFrame!A76</f>
        <v>leftMIddle</v>
      </c>
      <c r="B76">
        <f>RALDataSummary!J42</f>
        <v>72.097</v>
      </c>
      <c r="C76">
        <f>RALDataSummary!K42</f>
        <v>1.4990000000000023</v>
      </c>
      <c r="D76">
        <f>-RALDataSummary!L42</f>
        <v>-1.136</v>
      </c>
      <c r="E76">
        <f>RALDataSummary!B42</f>
        <v>73.325</v>
      </c>
      <c r="F76">
        <f>RALDataSummary!C42</f>
        <v>0</v>
      </c>
      <c r="G76">
        <f>RALDataSummary!D42</f>
        <v>2.046</v>
      </c>
    </row>
    <row r="77" spans="1:7" ht="10.5">
      <c r="A77" t="str">
        <f>GlobalFrame!A77</f>
        <v>rightMiddle</v>
      </c>
      <c r="B77">
        <f>RALDataSummary!J43</f>
        <v>88.926</v>
      </c>
      <c r="C77">
        <f>RALDataSummary!K43</f>
        <v>1.8230000000000004</v>
      </c>
      <c r="D77">
        <f>-RALDataSummary!L43</f>
        <v>-1.122</v>
      </c>
      <c r="E77">
        <f>RALDataSummary!B43</f>
        <v>89.27</v>
      </c>
      <c r="F77">
        <f>RALDataSummary!C43</f>
        <v>0.02499999999999858</v>
      </c>
      <c r="G77">
        <f>RALDataSummary!D43</f>
        <v>2.02</v>
      </c>
    </row>
    <row r="78" spans="1:7" ht="10.5">
      <c r="A78" t="str">
        <f>GlobalFrame!A78</f>
        <v>leftFar</v>
      </c>
      <c r="B78">
        <f>RALDataSummary!J44</f>
        <v>69.478</v>
      </c>
      <c r="C78">
        <f>RALDataSummary!K44</f>
        <v>-34.419</v>
      </c>
      <c r="D78">
        <f>-RALDataSummary!L44</f>
        <v>-1.094</v>
      </c>
      <c r="E78">
        <f>RALDataSummary!B44</f>
        <v>69.487</v>
      </c>
      <c r="F78">
        <f>RALDataSummary!C44</f>
        <v>34.402</v>
      </c>
      <c r="G78">
        <f>RALDataSummary!D44</f>
        <v>2.061</v>
      </c>
    </row>
    <row r="79" spans="1:7" ht="10.5">
      <c r="A79" t="str">
        <f>GlobalFrame!A79</f>
        <v>rightFar</v>
      </c>
      <c r="B79">
        <f>RALDataSummary!J45</f>
        <v>89.109</v>
      </c>
      <c r="C79">
        <f>RALDataSummary!K45</f>
        <v>-34.29900000000001</v>
      </c>
      <c r="D79">
        <f>-RALDataSummary!L45</f>
        <v>-1.094</v>
      </c>
      <c r="E79">
        <f>RALDataSummary!B45</f>
        <v>88.783</v>
      </c>
      <c r="F79">
        <f>RALDataSummary!C45</f>
        <v>34.569</v>
      </c>
      <c r="G79">
        <f>RALDataSummary!D45</f>
        <v>2.079</v>
      </c>
    </row>
    <row r="80" spans="1:7" ht="10.5">
      <c r="A80" t="str">
        <f>GlobalFrame!A80</f>
        <v>C74C73</v>
      </c>
      <c r="B80">
        <f>RALDataSummary!J50</f>
        <v>72.925</v>
      </c>
      <c r="C80">
        <f>RALDataSummary!K50</f>
        <v>-33.241</v>
      </c>
      <c r="D80">
        <f>-RALDataSummary!L50</f>
        <v>-2.343</v>
      </c>
      <c r="E80">
        <f>RALDataSummary!B50</f>
        <v>73.183</v>
      </c>
      <c r="F80">
        <f>RALDataSummary!C50</f>
        <v>33.30200000000001</v>
      </c>
      <c r="G80">
        <f>RALDataSummary!D50</f>
        <v>3.319</v>
      </c>
    </row>
    <row r="81" spans="1:7" ht="10.5">
      <c r="A81" t="str">
        <f>GlobalFrame!A81</f>
        <v>C55C53</v>
      </c>
      <c r="B81">
        <f>RALDataSummary!J51</f>
        <v>83.64</v>
      </c>
      <c r="C81">
        <f>RALDataSummary!K51</f>
        <v>-33.406000000000006</v>
      </c>
      <c r="D81">
        <f>-RALDataSummary!L51</f>
        <v>-2.358</v>
      </c>
      <c r="E81">
        <f>RALDataSummary!B51</f>
        <v>83.749</v>
      </c>
      <c r="F81">
        <f>RALDataSummary!C51</f>
        <v>33.620000000000005</v>
      </c>
      <c r="G81">
        <f>RALDataSummary!D51</f>
        <v>3.325</v>
      </c>
    </row>
    <row r="82" spans="1:7" ht="10.5">
      <c r="A82" t="str">
        <f>GlobalFrame!A82</f>
        <v>C56C54</v>
      </c>
      <c r="B82">
        <f>RALDataSummary!J52</f>
        <v>71.433</v>
      </c>
      <c r="C82">
        <f>RALDataSummary!K52</f>
        <v>-36.126000000000005</v>
      </c>
      <c r="D82">
        <f>-RALDataSummary!L52</f>
        <v>-2.208</v>
      </c>
      <c r="E82">
        <f>RALDataSummary!B52</f>
        <v>71.426</v>
      </c>
      <c r="F82">
        <f>RALDataSummary!C52</f>
        <v>36.18600000000001</v>
      </c>
      <c r="G82">
        <f>RALDataSummary!D52</f>
        <v>3.179</v>
      </c>
    </row>
  </sheetData>
  <printOptions/>
  <pageMargins left="0.75" right="0.75" top="1" bottom="1" header="0.512" footer="0.512"/>
  <pageSetup fitToHeight="1" fitToWidth="1" orientation="portrait" paperSize="9" scale="48" r:id="rId2"/>
  <headerFooter alignWithMargins="0">
    <oddHeader>&amp;C&amp;F</oddHeader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2"/>
  <sheetViews>
    <sheetView workbookViewId="0" topLeftCell="A1">
      <selection activeCell="S10" sqref="S10"/>
    </sheetView>
  </sheetViews>
  <sheetFormatPr defaultColWidth="9.140625" defaultRowHeight="12"/>
  <cols>
    <col min="1" max="16384" width="9.00390625" style="0" customWidth="1"/>
  </cols>
  <sheetData>
    <row r="1" ht="10.5">
      <c r="A1" t="s">
        <v>361</v>
      </c>
    </row>
    <row r="3" spans="1:3" ht="10.5">
      <c r="A3" t="s">
        <v>362</v>
      </c>
      <c r="C3" t="s">
        <v>363</v>
      </c>
    </row>
    <row r="4" spans="1:19" ht="10.5">
      <c r="A4" t="s">
        <v>337</v>
      </c>
      <c r="B4" t="s">
        <v>312</v>
      </c>
      <c r="C4" t="s">
        <v>128</v>
      </c>
      <c r="D4" t="s">
        <v>292</v>
      </c>
      <c r="E4">
        <v>1</v>
      </c>
      <c r="F4" t="s">
        <v>364</v>
      </c>
      <c r="G4" t="s">
        <v>365</v>
      </c>
      <c r="H4" t="s">
        <v>366</v>
      </c>
      <c r="I4" t="s">
        <v>367</v>
      </c>
      <c r="J4" t="s">
        <v>368</v>
      </c>
      <c r="K4" t="s">
        <v>369</v>
      </c>
      <c r="N4" t="s">
        <v>370</v>
      </c>
      <c r="Q4" t="s">
        <v>371</v>
      </c>
      <c r="R4" t="s">
        <v>372</v>
      </c>
      <c r="S4" t="s">
        <v>373</v>
      </c>
    </row>
    <row r="5" spans="1:19" ht="10.5">
      <c r="A5">
        <f>LoFacingFrame!A61</f>
        <v>1</v>
      </c>
      <c r="B5">
        <f>LoFacingFrame!B61</f>
        <v>0.5035000000000025</v>
      </c>
      <c r="C5">
        <f>LoFacingFrame!C61</f>
        <v>78.453</v>
      </c>
      <c r="D5">
        <f>LoFacingFrame!D61</f>
        <v>0.013</v>
      </c>
      <c r="E5">
        <f>1</f>
        <v>1</v>
      </c>
      <c r="F5">
        <f aca="true" t="shared" si="0" ref="F5:G8">B5*B5</f>
        <v>0.2535122500000025</v>
      </c>
      <c r="G5">
        <f t="shared" si="0"/>
        <v>6154.873209</v>
      </c>
      <c r="H5">
        <f aca="true" t="shared" si="1" ref="H5:H12">B5*C5</f>
        <v>39.5010855000002</v>
      </c>
      <c r="I5">
        <f aca="true" t="shared" si="2" ref="I5:I12">D5*B5</f>
        <v>0.006545500000000032</v>
      </c>
      <c r="J5">
        <f aca="true" t="shared" si="3" ref="J5:J12">D5*C5</f>
        <v>1.019889</v>
      </c>
      <c r="K5" s="15">
        <f>SUM(B5:B12)</f>
        <v>120.01908333333334</v>
      </c>
      <c r="L5" s="16">
        <f>SUM(C5:C12)</f>
        <v>603.6834166666667</v>
      </c>
      <c r="M5" s="17">
        <f>SUM(E5:E12)</f>
        <v>8</v>
      </c>
      <c r="N5" s="15">
        <f>INDEX(MINVERSE(K5:M7),1,1)</f>
        <v>-0.010955054843801009</v>
      </c>
      <c r="O5" s="16">
        <f>INDEX(MINVERSE(K5:M7),1,2)</f>
        <v>0.0007928081034143981</v>
      </c>
      <c r="P5" s="17">
        <f>INDEX(MINVERSE(K5:M7),1,3)</f>
        <v>-1.2443050236675343E-05</v>
      </c>
      <c r="Q5" s="18">
        <f>SUM(D5:D12)</f>
        <v>0.07591666666666666</v>
      </c>
      <c r="R5" s="31">
        <f>N5*Q5+O5*Q6+P5*Q7</f>
        <v>-0.00024844067477947844</v>
      </c>
      <c r="S5" s="18">
        <f>R5*1000</f>
        <v>-0.24844067477947845</v>
      </c>
    </row>
    <row r="6" spans="1:19" ht="10.5">
      <c r="A6">
        <f>LoFacingFrame!A62</f>
        <v>2</v>
      </c>
      <c r="B6">
        <f>LoFacingFrame!B62</f>
        <v>0.5037500000000108</v>
      </c>
      <c r="C6">
        <f>LoFacingFrame!C62</f>
        <v>75.45175</v>
      </c>
      <c r="D6">
        <f>LoFacingFrame!D62</f>
        <v>0.012750000000000001</v>
      </c>
      <c r="E6">
        <f>1</f>
        <v>1</v>
      </c>
      <c r="F6">
        <f t="shared" si="0"/>
        <v>0.2537640625000109</v>
      </c>
      <c r="G6">
        <f t="shared" si="0"/>
        <v>5692.966578062501</v>
      </c>
      <c r="H6">
        <f t="shared" si="1"/>
        <v>38.00881906250082</v>
      </c>
      <c r="I6">
        <f t="shared" si="2"/>
        <v>0.0064228125000001385</v>
      </c>
      <c r="J6">
        <f t="shared" si="3"/>
        <v>0.9620098125000002</v>
      </c>
      <c r="K6" s="19">
        <f>SUM(F5:F12)</f>
        <v>3061.925138340277</v>
      </c>
      <c r="L6" s="14">
        <f>SUM(H5:H12)</f>
        <v>9057.539699784722</v>
      </c>
      <c r="M6" s="20">
        <f>K5</f>
        <v>120.01908333333334</v>
      </c>
      <c r="N6" s="19">
        <f>INDEX(MINVERSE(K5:M7),2,1)</f>
        <v>-1.395780315180516</v>
      </c>
      <c r="O6" s="14">
        <f>INDEX(MINVERSE(K5:M7),2,2)</f>
        <v>-1.2443050236687E-05</v>
      </c>
      <c r="P6" s="20">
        <f>INDEX(MINVERSE(K5:M7),2,3)</f>
        <v>0.01849932533610385</v>
      </c>
      <c r="Q6" s="21">
        <f>SUM(I5:I12)</f>
        <v>0.8259757291666668</v>
      </c>
      <c r="R6" s="31">
        <f>N6*Q5+O6*Q6+P6*Q7</f>
        <v>0.0004902393429765811</v>
      </c>
      <c r="S6" s="24">
        <f>R6*1000</f>
        <v>0.4902393429765811</v>
      </c>
    </row>
    <row r="7" spans="1:18" ht="10.5">
      <c r="A7">
        <f>LoFacingFrame!A63</f>
        <v>3</v>
      </c>
      <c r="B7">
        <f>LoFacingFrame!B63</f>
        <v>0.5038333333333327</v>
      </c>
      <c r="C7">
        <f>LoFacingFrame!C63</f>
        <v>72.44866666666667</v>
      </c>
      <c r="D7">
        <f>LoFacingFrame!D63</f>
        <v>0.009499999999999998</v>
      </c>
      <c r="E7">
        <f>1</f>
        <v>1</v>
      </c>
      <c r="F7">
        <f t="shared" si="0"/>
        <v>0.25384802777777715</v>
      </c>
      <c r="G7">
        <f t="shared" si="0"/>
        <v>5248.809301777778</v>
      </c>
      <c r="H7">
        <f t="shared" si="1"/>
        <v>36.50205322222217</v>
      </c>
      <c r="I7">
        <f t="shared" si="2"/>
        <v>0.004786416666666659</v>
      </c>
      <c r="J7">
        <f t="shared" si="3"/>
        <v>0.6882623333333332</v>
      </c>
      <c r="K7" s="22">
        <f>L6</f>
        <v>9057.539699784722</v>
      </c>
      <c r="L7" s="3">
        <f>SUM(G5:G12)</f>
        <v>45608.26504084028</v>
      </c>
      <c r="M7" s="23">
        <f>L5</f>
        <v>603.6834166666667</v>
      </c>
      <c r="N7" s="22">
        <f>INDEX(MINVERSE(K5:M7),3,1)</f>
        <v>105.61553065305877</v>
      </c>
      <c r="O7" s="3">
        <f>INDEX(MINVERSE(K5:M7),3,2)</f>
        <v>-0.010955054843799555</v>
      </c>
      <c r="P7" s="23">
        <f>INDEX(MINVERSE(K5:M7),3,3)</f>
        <v>-1.3957803151805162</v>
      </c>
      <c r="Q7" s="24">
        <f>SUM(J5:J12)</f>
        <v>5.7549939791666676</v>
      </c>
      <c r="R7">
        <f>N7*Q5+O7*Q6+P7*Q7</f>
        <v>-0.02377688410451384</v>
      </c>
    </row>
    <row r="8" spans="1:18" ht="10.5">
      <c r="A8">
        <f>LoFacingFrame!A64</f>
        <v>4</v>
      </c>
      <c r="B8">
        <f>LoFacingFrame!B64</f>
        <v>29.501999999999995</v>
      </c>
      <c r="C8">
        <f>LoFacingFrame!C64</f>
        <v>78.471</v>
      </c>
      <c r="D8">
        <f>LoFacingFrame!D64</f>
        <v>0.0055</v>
      </c>
      <c r="E8">
        <f>1</f>
        <v>1</v>
      </c>
      <c r="F8">
        <f t="shared" si="0"/>
        <v>870.3680039999997</v>
      </c>
      <c r="G8">
        <f t="shared" si="0"/>
        <v>6157.697841</v>
      </c>
      <c r="H8">
        <f t="shared" si="1"/>
        <v>2315.051442</v>
      </c>
      <c r="I8">
        <f t="shared" si="2"/>
        <v>0.16226099999999996</v>
      </c>
      <c r="J8">
        <f t="shared" si="3"/>
        <v>0.4315905</v>
      </c>
      <c r="Q8" t="s">
        <v>374</v>
      </c>
      <c r="R8">
        <f>1/SQRT(1+R5^2+R6^2)</f>
        <v>0.999999848971343</v>
      </c>
    </row>
    <row r="9" spans="1:10" ht="10.5">
      <c r="A9">
        <f>LoFacingFrame!A65</f>
        <v>5</v>
      </c>
      <c r="B9">
        <f>LoFacingFrame!B65</f>
        <v>29.501999999999995</v>
      </c>
      <c r="C9">
        <f>LoFacingFrame!C65</f>
        <v>75.471</v>
      </c>
      <c r="D9">
        <f>LoFacingFrame!D65</f>
        <v>0.005</v>
      </c>
      <c r="E9">
        <f>1</f>
        <v>1</v>
      </c>
      <c r="F9">
        <f aca="true" t="shared" si="4" ref="F9:G12">B9*B9</f>
        <v>870.3680039999997</v>
      </c>
      <c r="G9">
        <f t="shared" si="4"/>
        <v>5695.871841</v>
      </c>
      <c r="H9">
        <f t="shared" si="1"/>
        <v>2226.5454419999996</v>
      </c>
      <c r="I9">
        <f t="shared" si="2"/>
        <v>0.14750999999999997</v>
      </c>
      <c r="J9">
        <f t="shared" si="3"/>
        <v>0.37735500000000005</v>
      </c>
    </row>
    <row r="10" spans="1:10" ht="10.5">
      <c r="A10">
        <f>LoFacingFrame!A66</f>
        <v>6</v>
      </c>
      <c r="B10">
        <f>LoFacingFrame!B66</f>
        <v>29.501999999999995</v>
      </c>
      <c r="C10">
        <f>LoFacingFrame!C66</f>
        <v>72.47</v>
      </c>
      <c r="D10">
        <f>LoFacingFrame!D66</f>
        <v>0.003166666666666667</v>
      </c>
      <c r="E10">
        <f>1</f>
        <v>1</v>
      </c>
      <c r="F10">
        <f t="shared" si="4"/>
        <v>870.3680039999997</v>
      </c>
      <c r="G10">
        <f t="shared" si="4"/>
        <v>5251.9009</v>
      </c>
      <c r="H10">
        <f t="shared" si="1"/>
        <v>2138.0099399999995</v>
      </c>
      <c r="I10">
        <f t="shared" si="2"/>
        <v>0.09342299999999999</v>
      </c>
      <c r="J10">
        <f t="shared" si="3"/>
        <v>0.22948833333333335</v>
      </c>
    </row>
    <row r="11" spans="1:10" ht="10.5">
      <c r="A11">
        <f>LoFacingFrame!A67</f>
        <v>7</v>
      </c>
      <c r="B11">
        <f>LoFacingFrame!B67</f>
        <v>15.001000000000005</v>
      </c>
      <c r="C11">
        <f>LoFacingFrame!C67</f>
        <v>72.457</v>
      </c>
      <c r="D11">
        <f>LoFacingFrame!D67</f>
        <v>0.012</v>
      </c>
      <c r="E11">
        <f>1</f>
        <v>1</v>
      </c>
      <c r="F11">
        <f t="shared" si="4"/>
        <v>225.03000100000014</v>
      </c>
      <c r="G11">
        <f t="shared" si="4"/>
        <v>5250.016848999999</v>
      </c>
      <c r="H11">
        <f t="shared" si="1"/>
        <v>1086.9274570000002</v>
      </c>
      <c r="I11">
        <f t="shared" si="2"/>
        <v>0.18001200000000006</v>
      </c>
      <c r="J11">
        <f t="shared" si="3"/>
        <v>0.8694839999999999</v>
      </c>
    </row>
    <row r="12" spans="1:10" ht="10.5">
      <c r="A12">
        <f>LoFacingFrame!A68</f>
        <v>8</v>
      </c>
      <c r="B12">
        <f>LoFacingFrame!B68</f>
        <v>15.001000000000005</v>
      </c>
      <c r="C12">
        <f>LoFacingFrame!C68</f>
        <v>78.461</v>
      </c>
      <c r="D12">
        <f>LoFacingFrame!D68</f>
        <v>0.015</v>
      </c>
      <c r="E12">
        <f>1</f>
        <v>1</v>
      </c>
      <c r="F12">
        <f t="shared" si="4"/>
        <v>225.03000100000014</v>
      </c>
      <c r="G12">
        <f t="shared" si="4"/>
        <v>6156.128521</v>
      </c>
      <c r="H12">
        <f t="shared" si="1"/>
        <v>1176.9934610000003</v>
      </c>
      <c r="I12">
        <f t="shared" si="2"/>
        <v>0.22501500000000008</v>
      </c>
      <c r="J12">
        <f t="shared" si="3"/>
        <v>1.176915</v>
      </c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workbookViewId="0" topLeftCell="A13">
      <selection activeCell="D5" sqref="D5"/>
    </sheetView>
  </sheetViews>
  <sheetFormatPr defaultColWidth="9.140625" defaultRowHeight="12"/>
  <cols>
    <col min="1" max="6" width="12.00390625" style="0" customWidth="1"/>
    <col min="7" max="7" width="25.7109375" style="0" customWidth="1"/>
    <col min="8" max="16384" width="12.00390625" style="0" customWidth="1"/>
  </cols>
  <sheetData>
    <row r="1" ht="10.5">
      <c r="A1" t="s">
        <v>375</v>
      </c>
    </row>
    <row r="2" ht="10.5">
      <c r="A2" t="s">
        <v>78</v>
      </c>
    </row>
    <row r="3" spans="4:5" ht="10.5">
      <c r="D3" t="s">
        <v>376</v>
      </c>
      <c r="E3" t="s">
        <v>377</v>
      </c>
    </row>
    <row r="4" spans="1:9" ht="10.5">
      <c r="A4" t="str">
        <f>LoFacingFrame!A4</f>
        <v>LeftSensor</v>
      </c>
      <c r="B4" t="str">
        <f>LoFacingFrame!B4</f>
        <v>x</v>
      </c>
      <c r="C4" t="str">
        <f>LoFacingFrame!C4</f>
        <v>y</v>
      </c>
      <c r="D4" t="s">
        <v>292</v>
      </c>
      <c r="E4" t="s">
        <v>292</v>
      </c>
      <c r="H4" t="s">
        <v>312</v>
      </c>
      <c r="I4" t="s">
        <v>128</v>
      </c>
    </row>
    <row r="5" spans="1:9" ht="10.5">
      <c r="A5">
        <f>LoFacingFrame!A5</f>
        <v>1</v>
      </c>
      <c r="B5">
        <f>AVERAGE(LoFacingFrame!B5,LoFacingFrame!E5)</f>
        <v>-60.9985</v>
      </c>
      <c r="C5">
        <f>AVERAGE(LoFacingFrame!C5,LoFacingFrame!F5)</f>
        <v>-30.7995</v>
      </c>
      <c r="D5">
        <f>AVERAGE(LoFacingFrame!D5,LoFacingFrame!G5)</f>
        <v>0.3955</v>
      </c>
      <c r="E5">
        <f>LoFacingFrame!G5-LoFacingFrame!D5</f>
        <v>1.0630000000000002</v>
      </c>
      <c r="G5" t="s">
        <v>378</v>
      </c>
      <c r="H5" s="37">
        <f>AVERAGE(D9,D14,D19,D24,D29,D31,D36,D41,D46,D51)-AVERAGE(D5,D10,D15,D20,D25,D35,D40,D45,D50,D55)</f>
        <v>0.033449999999999924</v>
      </c>
      <c r="I5" s="37">
        <f>AVERAGE(D15,D16,D17,D18,D19,D41,D42,D43,D44,D45)-AVERAGE(D5:D9,D25:D29,D31:D35,D51:D55)</f>
        <v>-0.0009499999999999509</v>
      </c>
    </row>
    <row r="6" spans="1:9" ht="10.5">
      <c r="A6">
        <f>LoFacingFrame!A6</f>
        <v>2</v>
      </c>
      <c r="B6">
        <f>AVERAGE(LoFacingFrame!B6,LoFacingFrame!E6)</f>
        <v>-46.599000000000004</v>
      </c>
      <c r="C6">
        <f>AVERAGE(LoFacingFrame!C6,LoFacingFrame!F6)</f>
        <v>-30.799999999999997</v>
      </c>
      <c r="D6">
        <f>AVERAGE(LoFacingFrame!D6,LoFacingFrame!G6)</f>
        <v>0.4115</v>
      </c>
      <c r="E6">
        <f>LoFacingFrame!G6-LoFacingFrame!D6</f>
        <v>1.119</v>
      </c>
      <c r="G6" t="s">
        <v>379</v>
      </c>
      <c r="H6" s="37">
        <f>AVERAGE(D55,D50,D45,D40,D35)-AVERAGE(D5,D10,D15,D20,D25)</f>
        <v>0.06259999999999993</v>
      </c>
      <c r="I6" s="37">
        <f>AVERAGE(D25:D29,D51:D55)-AVERAGE(D5:D9,D31:D35)</f>
        <v>-0.007600000000000051</v>
      </c>
    </row>
    <row r="7" spans="1:9" ht="10.5">
      <c r="A7">
        <f>LoFacingFrame!A7</f>
        <v>3</v>
      </c>
      <c r="B7">
        <f>AVERAGE(LoFacingFrame!B7,LoFacingFrame!E7)</f>
        <v>-32.199</v>
      </c>
      <c r="C7">
        <f>AVERAGE(LoFacingFrame!C7,LoFacingFrame!F7)</f>
        <v>-30.799999999999997</v>
      </c>
      <c r="D7">
        <f>AVERAGE(LoFacingFrame!D7,LoFacingFrame!G7)</f>
        <v>0.42749999999999994</v>
      </c>
      <c r="E7">
        <f>LoFacingFrame!G7-LoFacingFrame!D7</f>
        <v>1.1469999999999998</v>
      </c>
      <c r="H7" s="26"/>
      <c r="I7" s="26"/>
    </row>
    <row r="8" spans="1:9" ht="10.5">
      <c r="A8">
        <f>LoFacingFrame!A8</f>
        <v>4</v>
      </c>
      <c r="B8">
        <f>AVERAGE(LoFacingFrame!B8,LoFacingFrame!E8)</f>
        <v>-17.799</v>
      </c>
      <c r="C8">
        <f>AVERAGE(LoFacingFrame!C8,LoFacingFrame!F8)</f>
        <v>-30.7995</v>
      </c>
      <c r="D8">
        <f>AVERAGE(LoFacingFrame!D8,LoFacingFrame!G8)</f>
        <v>0.44099999999999995</v>
      </c>
      <c r="E8">
        <f>LoFacingFrame!G8-LoFacingFrame!D8</f>
        <v>1.152</v>
      </c>
      <c r="G8" t="s">
        <v>380</v>
      </c>
      <c r="H8" s="26">
        <f>AVERAGE(Transformations!R41,Transformations!R69)</f>
        <v>0.45896723902936815</v>
      </c>
      <c r="I8" s="26"/>
    </row>
    <row r="9" spans="1:11" ht="10.5">
      <c r="A9">
        <f>LoFacingFrame!A9</f>
        <v>5</v>
      </c>
      <c r="B9">
        <f>AVERAGE(LoFacingFrame!B9,LoFacingFrame!E9)</f>
        <v>-3.398500000000002</v>
      </c>
      <c r="C9">
        <f>AVERAGE(LoFacingFrame!C9,LoFacingFrame!F9)</f>
        <v>-30.799999999999997</v>
      </c>
      <c r="D9">
        <f>AVERAGE(LoFacingFrame!D9,LoFacingFrame!G9)</f>
        <v>0.45399999999999996</v>
      </c>
      <c r="E9">
        <f>LoFacingFrame!G9-LoFacingFrame!D9</f>
        <v>1.138</v>
      </c>
      <c r="G9" t="s">
        <v>113</v>
      </c>
      <c r="H9" s="26">
        <f>AVERAGE(E12:E14,E17:E19,E22:E24,E36:E38,E41:E43,E46:E48)</f>
        <v>1.118083333333333</v>
      </c>
      <c r="I9" s="26"/>
      <c r="J9" s="13"/>
      <c r="K9" t="s">
        <v>381</v>
      </c>
    </row>
    <row r="10" spans="1:9" ht="10.5">
      <c r="A10">
        <f>LoFacingFrame!A10</f>
        <v>6</v>
      </c>
      <c r="B10">
        <f>AVERAGE(LoFacingFrame!B10,LoFacingFrame!E10)</f>
        <v>-60.9985</v>
      </c>
      <c r="C10">
        <f>AVERAGE(LoFacingFrame!C10,LoFacingFrame!F10)</f>
        <v>-15.399999999999999</v>
      </c>
      <c r="D10">
        <f>AVERAGE(LoFacingFrame!D10,LoFacingFrame!G10)</f>
        <v>0.39</v>
      </c>
      <c r="E10">
        <f>LoFacingFrame!G10-LoFacingFrame!D10</f>
        <v>1.036</v>
      </c>
      <c r="G10" t="s">
        <v>382</v>
      </c>
      <c r="H10" s="26">
        <f>H9/2</f>
        <v>0.5590416666666665</v>
      </c>
      <c r="I10" s="26"/>
    </row>
    <row r="11" spans="1:9" ht="10.5">
      <c r="A11">
        <f>LoFacingFrame!A11</f>
        <v>7</v>
      </c>
      <c r="B11">
        <f>AVERAGE(LoFacingFrame!B11,LoFacingFrame!E11)</f>
        <v>-46.5985</v>
      </c>
      <c r="C11">
        <f>AVERAGE(LoFacingFrame!C11,LoFacingFrame!F11)</f>
        <v>-15.399999999999999</v>
      </c>
      <c r="D11">
        <f>AVERAGE(LoFacingFrame!D11,LoFacingFrame!G11)</f>
        <v>0.41</v>
      </c>
      <c r="E11">
        <f>LoFacingFrame!G11-LoFacingFrame!D11</f>
        <v>1.092</v>
      </c>
      <c r="H11" s="26"/>
      <c r="I11" s="26"/>
    </row>
    <row r="12" spans="1:9" ht="10.5">
      <c r="A12">
        <f>LoFacingFrame!A12</f>
        <v>8</v>
      </c>
      <c r="B12">
        <f>AVERAGE(LoFacingFrame!B12,LoFacingFrame!E12)</f>
        <v>-32.199</v>
      </c>
      <c r="C12">
        <f>AVERAGE(LoFacingFrame!C12,LoFacingFrame!F12)</f>
        <v>-15.399999999999999</v>
      </c>
      <c r="D12">
        <f>AVERAGE(LoFacingFrame!D12,LoFacingFrame!G12)</f>
        <v>0.4235</v>
      </c>
      <c r="E12" s="18">
        <f>LoFacingFrame!G12-LoFacingFrame!D12</f>
        <v>1.121</v>
      </c>
      <c r="G12" t="s">
        <v>133</v>
      </c>
      <c r="H12" s="26">
        <f>AVERAGE(E57:E58)</f>
        <v>0.9138333333333333</v>
      </c>
      <c r="I12" s="26"/>
    </row>
    <row r="13" spans="1:9" ht="10.5">
      <c r="A13">
        <f>LoFacingFrame!A13</f>
        <v>9</v>
      </c>
      <c r="B13">
        <f>AVERAGE(LoFacingFrame!B13,LoFacingFrame!E13)</f>
        <v>-17.799</v>
      </c>
      <c r="C13">
        <f>AVERAGE(LoFacingFrame!C13,LoFacingFrame!F13)</f>
        <v>-15.399999999999999</v>
      </c>
      <c r="D13">
        <f>AVERAGE(LoFacingFrame!D13,LoFacingFrame!G13)</f>
        <v>0.439</v>
      </c>
      <c r="E13" s="21">
        <f>LoFacingFrame!G13-LoFacingFrame!D13</f>
        <v>1.12</v>
      </c>
      <c r="G13" t="s">
        <v>136</v>
      </c>
      <c r="H13" s="26">
        <f>E59</f>
        <v>0.9033333333333333</v>
      </c>
      <c r="I13" s="26"/>
    </row>
    <row r="14" spans="1:9" ht="10.5">
      <c r="A14">
        <f>LoFacingFrame!A14</f>
        <v>10</v>
      </c>
      <c r="B14">
        <f>AVERAGE(LoFacingFrame!B14,LoFacingFrame!E14)</f>
        <v>-3.398500000000002</v>
      </c>
      <c r="C14">
        <f>AVERAGE(LoFacingFrame!C14,LoFacingFrame!F14)</f>
        <v>-15.399999999999999</v>
      </c>
      <c r="D14">
        <f>AVERAGE(LoFacingFrame!D14,LoFacingFrame!G14)</f>
        <v>0.453</v>
      </c>
      <c r="E14" s="24">
        <f>LoFacingFrame!G14-LoFacingFrame!D14</f>
        <v>1.11</v>
      </c>
      <c r="G14" t="s">
        <v>383</v>
      </c>
      <c r="H14" s="26">
        <f>H12/2</f>
        <v>0.45691666666666664</v>
      </c>
      <c r="I14" s="26"/>
    </row>
    <row r="15" spans="1:9" ht="10.5">
      <c r="A15">
        <f>LoFacingFrame!A15</f>
        <v>11</v>
      </c>
      <c r="B15">
        <f>AVERAGE(LoFacingFrame!B15,LoFacingFrame!E15)</f>
        <v>-60.998999999999995</v>
      </c>
      <c r="C15">
        <f>AVERAGE(LoFacingFrame!C15,LoFacingFrame!F15)</f>
        <v>0.0005000000000006111</v>
      </c>
      <c r="D15">
        <f>AVERAGE(LoFacingFrame!D15,LoFacingFrame!G15)</f>
        <v>0.3915</v>
      </c>
      <c r="E15">
        <f>LoFacingFrame!G15-LoFacingFrame!D15</f>
        <v>1.049</v>
      </c>
      <c r="G15" t="s">
        <v>384</v>
      </c>
      <c r="H15" s="26">
        <f>H13/2</f>
        <v>0.45166666666666666</v>
      </c>
      <c r="I15" s="26"/>
    </row>
    <row r="16" spans="1:9" ht="10.5">
      <c r="A16">
        <f>LoFacingFrame!A16</f>
        <v>12</v>
      </c>
      <c r="B16">
        <f>AVERAGE(LoFacingFrame!B16,LoFacingFrame!E16)</f>
        <v>-46.5985</v>
      </c>
      <c r="C16">
        <f>AVERAGE(LoFacingFrame!C16,LoFacingFrame!F16)</f>
        <v>0</v>
      </c>
      <c r="D16">
        <f>AVERAGE(LoFacingFrame!D16,LoFacingFrame!G16)</f>
        <v>0.4075</v>
      </c>
      <c r="E16">
        <f>LoFacingFrame!G16-LoFacingFrame!D16</f>
        <v>1.097</v>
      </c>
      <c r="G16" t="s">
        <v>138</v>
      </c>
      <c r="H16" s="26">
        <f>AVERAGE(H14:H15)</f>
        <v>0.45429166666666665</v>
      </c>
      <c r="I16" s="26"/>
    </row>
    <row r="17" spans="1:9" ht="10.5">
      <c r="A17">
        <f>LoFacingFrame!A17</f>
        <v>13</v>
      </c>
      <c r="B17">
        <f>AVERAGE(LoFacingFrame!B17,LoFacingFrame!E17)</f>
        <v>-32.199</v>
      </c>
      <c r="C17">
        <f>AVERAGE(LoFacingFrame!C17,LoFacingFrame!F17)</f>
        <v>0</v>
      </c>
      <c r="D17">
        <f>AVERAGE(LoFacingFrame!D17,LoFacingFrame!G17)</f>
        <v>0.426</v>
      </c>
      <c r="E17" s="18">
        <f>LoFacingFrame!G17-LoFacingFrame!D17</f>
        <v>1.12</v>
      </c>
      <c r="G17" t="s">
        <v>140</v>
      </c>
      <c r="H17" s="26">
        <f>H14-H15</f>
        <v>0.005249999999999977</v>
      </c>
      <c r="I17" s="26"/>
    </row>
    <row r="18" spans="1:9" ht="10.5">
      <c r="A18">
        <f>LoFacingFrame!A18</f>
        <v>14</v>
      </c>
      <c r="B18">
        <f>AVERAGE(LoFacingFrame!B18,LoFacingFrame!E18)</f>
        <v>-17.799</v>
      </c>
      <c r="C18">
        <f>AVERAGE(LoFacingFrame!C18,LoFacingFrame!F18)</f>
        <v>0.0005000000000006111</v>
      </c>
      <c r="D18">
        <f>AVERAGE(LoFacingFrame!D18,LoFacingFrame!G18)</f>
        <v>0.4415</v>
      </c>
      <c r="E18" s="21">
        <f>LoFacingFrame!G18-LoFacingFrame!D18</f>
        <v>1.129</v>
      </c>
      <c r="H18" s="26"/>
      <c r="I18" s="26"/>
    </row>
    <row r="19" spans="1:9" ht="10.5">
      <c r="A19">
        <f>LoFacingFrame!A19</f>
        <v>15</v>
      </c>
      <c r="B19">
        <f>AVERAGE(LoFacingFrame!B19,LoFacingFrame!E19)</f>
        <v>-3.399000000000001</v>
      </c>
      <c r="C19">
        <f>AVERAGE(LoFacingFrame!C19,LoFacingFrame!F19)</f>
        <v>-0.0005000000000006111</v>
      </c>
      <c r="D19">
        <f>AVERAGE(LoFacingFrame!D19,LoFacingFrame!G19)</f>
        <v>0.45499999999999996</v>
      </c>
      <c r="E19" s="24">
        <f>LoFacingFrame!G19-LoFacingFrame!D19</f>
        <v>1.1159999999999999</v>
      </c>
      <c r="G19" t="s">
        <v>142</v>
      </c>
      <c r="H19" s="26">
        <f>H9-2*(H22+(H16-H23))</f>
        <v>0.13949999999999985</v>
      </c>
      <c r="I19" s="26"/>
    </row>
    <row r="20" spans="1:9" ht="10.5">
      <c r="A20">
        <f>LoFacingFrame!A20</f>
        <v>16</v>
      </c>
      <c r="B20">
        <f>AVERAGE(LoFacingFrame!B20,LoFacingFrame!E20)</f>
        <v>-60.998999999999995</v>
      </c>
      <c r="C20">
        <f>AVERAGE(LoFacingFrame!C20,LoFacingFrame!F20)</f>
        <v>15.399999999999999</v>
      </c>
      <c r="D20">
        <f>AVERAGE(LoFacingFrame!D20,LoFacingFrame!G20)</f>
        <v>0.3945</v>
      </c>
      <c r="E20">
        <f>LoFacingFrame!G20-LoFacingFrame!D20</f>
        <v>1.049</v>
      </c>
      <c r="G20" t="s">
        <v>144</v>
      </c>
      <c r="H20" s="26">
        <f>H16-H8</f>
        <v>-0.004675572362701497</v>
      </c>
      <c r="I20" s="26"/>
    </row>
    <row r="21" spans="1:9" ht="10.5">
      <c r="A21">
        <f>LoFacingFrame!A21</f>
        <v>17</v>
      </c>
      <c r="B21">
        <f>AVERAGE(LoFacingFrame!B21,LoFacingFrame!E21)</f>
        <v>-46.5985</v>
      </c>
      <c r="C21">
        <f>AVERAGE(LoFacingFrame!C21,LoFacingFrame!F21)</f>
        <v>15.399999999999999</v>
      </c>
      <c r="D21">
        <f>AVERAGE(LoFacingFrame!D21,LoFacingFrame!G21)</f>
        <v>0.4085</v>
      </c>
      <c r="E21">
        <f>LoFacingFrame!G21-LoFacingFrame!D21</f>
        <v>1.097</v>
      </c>
      <c r="H21" s="26"/>
      <c r="I21" s="26"/>
    </row>
    <row r="22" spans="1:9" ht="10.5">
      <c r="A22">
        <f>LoFacingFrame!A22</f>
        <v>18</v>
      </c>
      <c r="B22">
        <f>AVERAGE(LoFacingFrame!B22,LoFacingFrame!E22)</f>
        <v>-32.199</v>
      </c>
      <c r="C22">
        <f>AVERAGE(LoFacingFrame!C22,LoFacingFrame!F22)</f>
        <v>15.399999999999999</v>
      </c>
      <c r="D22">
        <f>AVERAGE(LoFacingFrame!D22,LoFacingFrame!G22)</f>
        <v>0.4265</v>
      </c>
      <c r="E22" s="18">
        <f>LoFacingFrame!G22-LoFacingFrame!D22</f>
        <v>1.115</v>
      </c>
      <c r="G22" t="s">
        <v>385</v>
      </c>
      <c r="H22" s="26">
        <f>GlobalFrame!B2</f>
        <v>0.285</v>
      </c>
      <c r="I22" s="26"/>
    </row>
    <row r="23" spans="1:9" ht="10.5">
      <c r="A23">
        <f>LoFacingFrame!A23</f>
        <v>19</v>
      </c>
      <c r="B23">
        <f>AVERAGE(LoFacingFrame!B23,LoFacingFrame!E23)</f>
        <v>-17.799</v>
      </c>
      <c r="C23">
        <f>AVERAGE(LoFacingFrame!C23,LoFacingFrame!F23)</f>
        <v>15.399999999999999</v>
      </c>
      <c r="D23">
        <f>AVERAGE(LoFacingFrame!D23,LoFacingFrame!G23)</f>
        <v>0.4445</v>
      </c>
      <c r="E23" s="21">
        <f>LoFacingFrame!G23-LoFacingFrame!D23</f>
        <v>1.123</v>
      </c>
      <c r="G23" t="s">
        <v>386</v>
      </c>
      <c r="H23" s="26">
        <v>0.25</v>
      </c>
      <c r="I23" s="26"/>
    </row>
    <row r="24" spans="1:5" ht="10.5">
      <c r="A24">
        <f>LoFacingFrame!A24</f>
        <v>20</v>
      </c>
      <c r="B24">
        <f>AVERAGE(LoFacingFrame!B24,LoFacingFrame!E24)</f>
        <v>-3.399000000000001</v>
      </c>
      <c r="C24">
        <f>AVERAGE(LoFacingFrame!C24,LoFacingFrame!F24)</f>
        <v>15.399999999999999</v>
      </c>
      <c r="D24">
        <f>AVERAGE(LoFacingFrame!D24,LoFacingFrame!G24)</f>
        <v>0.45099999999999996</v>
      </c>
      <c r="E24" s="24">
        <f>LoFacingFrame!G24-LoFacingFrame!D24</f>
        <v>1.1199999999999999</v>
      </c>
    </row>
    <row r="25" spans="1:8" ht="10.5">
      <c r="A25">
        <f>LoFacingFrame!A25</f>
        <v>21</v>
      </c>
      <c r="B25">
        <f>AVERAGE(LoFacingFrame!B25,LoFacingFrame!E25)</f>
        <v>-60.9985</v>
      </c>
      <c r="C25">
        <f>AVERAGE(LoFacingFrame!C25,LoFacingFrame!F25)</f>
        <v>30.7995</v>
      </c>
      <c r="D25">
        <f>AVERAGE(LoFacingFrame!D25,LoFacingFrame!G25)</f>
        <v>0.3865</v>
      </c>
      <c r="E25">
        <f>LoFacingFrame!G25-LoFacingFrame!D25</f>
        <v>1.057</v>
      </c>
      <c r="G25" t="s">
        <v>182</v>
      </c>
      <c r="H25" s="26">
        <f>MAX(E74:E79)</f>
        <v>3.1819999999999995</v>
      </c>
    </row>
    <row r="26" spans="1:8" ht="10.5">
      <c r="A26">
        <f>LoFacingFrame!A26</f>
        <v>22</v>
      </c>
      <c r="B26">
        <f>AVERAGE(LoFacingFrame!B26,LoFacingFrame!E26)</f>
        <v>-46.599000000000004</v>
      </c>
      <c r="C26">
        <f>AVERAGE(LoFacingFrame!C26,LoFacingFrame!F26)</f>
        <v>30.799999999999997</v>
      </c>
      <c r="D26">
        <f>AVERAGE(LoFacingFrame!D26,LoFacingFrame!G26)</f>
        <v>0.40549999999999997</v>
      </c>
      <c r="E26">
        <f>LoFacingFrame!G26-LoFacingFrame!D26</f>
        <v>1.109</v>
      </c>
      <c r="G26" t="s">
        <v>186</v>
      </c>
      <c r="H26" s="26">
        <f>MAX(E80:E82)</f>
        <v>5.683</v>
      </c>
    </row>
    <row r="27" spans="1:5" ht="10.5">
      <c r="A27">
        <f>LoFacingFrame!A27</f>
        <v>23</v>
      </c>
      <c r="B27">
        <f>AVERAGE(LoFacingFrame!B27,LoFacingFrame!E27)</f>
        <v>-32.198499999999996</v>
      </c>
      <c r="C27">
        <f>AVERAGE(LoFacingFrame!C27,LoFacingFrame!F27)</f>
        <v>30.8005</v>
      </c>
      <c r="D27">
        <f>AVERAGE(LoFacingFrame!D27,LoFacingFrame!G27)</f>
        <v>0.4225</v>
      </c>
      <c r="E27">
        <f>LoFacingFrame!G27-LoFacingFrame!D27</f>
        <v>1.129</v>
      </c>
    </row>
    <row r="28" spans="1:5" ht="10.5">
      <c r="A28">
        <f>LoFacingFrame!A28</f>
        <v>24</v>
      </c>
      <c r="B28">
        <f>AVERAGE(LoFacingFrame!B28,LoFacingFrame!E28)</f>
        <v>-17.7985</v>
      </c>
      <c r="C28">
        <f>AVERAGE(LoFacingFrame!C28,LoFacingFrame!F28)</f>
        <v>30.799999999999997</v>
      </c>
      <c r="D28">
        <f>AVERAGE(LoFacingFrame!D28,LoFacingFrame!G28)</f>
        <v>0.44099999999999995</v>
      </c>
      <c r="E28">
        <f>LoFacingFrame!G28-LoFacingFrame!D28</f>
        <v>1.132</v>
      </c>
    </row>
    <row r="29" spans="1:5" ht="10.5">
      <c r="A29">
        <f>LoFacingFrame!A29</f>
        <v>25</v>
      </c>
      <c r="B29">
        <f>AVERAGE(LoFacingFrame!B29,LoFacingFrame!E29)</f>
        <v>-3.398500000000002</v>
      </c>
      <c r="C29">
        <f>AVERAGE(LoFacingFrame!C29,LoFacingFrame!F29)</f>
        <v>30.799999999999997</v>
      </c>
      <c r="D29">
        <f>AVERAGE(LoFacingFrame!D29,LoFacingFrame!G29)</f>
        <v>0.45649999999999996</v>
      </c>
      <c r="E29">
        <f>LoFacingFrame!G29-LoFacingFrame!D29</f>
        <v>1.129</v>
      </c>
    </row>
    <row r="30" spans="1:5" ht="10.5">
      <c r="A30" t="str">
        <f>LoFacingFrame!A30</f>
        <v>RightSensor</v>
      </c>
      <c r="B30" t="str">
        <f>LoFacingFrame!B30</f>
        <v>x</v>
      </c>
      <c r="C30" t="str">
        <f>LoFacingFrame!C30</f>
        <v>y</v>
      </c>
      <c r="D30" t="s">
        <v>292</v>
      </c>
      <c r="E30" t="s">
        <v>292</v>
      </c>
    </row>
    <row r="31" spans="1:5" ht="10.5">
      <c r="A31">
        <f>LoFacingFrame!A31</f>
        <v>1</v>
      </c>
      <c r="B31">
        <f>AVERAGE(LoFacingFrame!B31,LoFacingFrame!E31)</f>
        <v>2.1019999999999968</v>
      </c>
      <c r="C31">
        <f>AVERAGE(LoFacingFrame!C31,LoFacingFrame!F31)</f>
        <v>-30.7995</v>
      </c>
      <c r="D31">
        <f>AVERAGE(LoFacingFrame!D31,LoFacingFrame!G31)</f>
        <v>0.461</v>
      </c>
      <c r="E31">
        <f>LoFacingFrame!G31-LoFacingFrame!D31</f>
        <v>1.114</v>
      </c>
    </row>
    <row r="32" spans="1:5" ht="10.5">
      <c r="A32">
        <f>LoFacingFrame!A32</f>
        <v>2</v>
      </c>
      <c r="B32">
        <f>AVERAGE(LoFacingFrame!B32,LoFacingFrame!E32)</f>
        <v>16.99375</v>
      </c>
      <c r="C32">
        <f>AVERAGE(LoFacingFrame!C32,LoFacingFrame!F32)</f>
        <v>-30.79925</v>
      </c>
      <c r="D32">
        <f>AVERAGE(LoFacingFrame!D32,LoFacingFrame!G32)</f>
        <v>0.46199999999999997</v>
      </c>
      <c r="E32">
        <f>LoFacingFrame!G32-LoFacingFrame!D32</f>
        <v>1.125</v>
      </c>
    </row>
    <row r="33" spans="1:5" ht="10.5">
      <c r="A33">
        <f>LoFacingFrame!A33</f>
        <v>3</v>
      </c>
      <c r="B33">
        <f>AVERAGE(LoFacingFrame!B33,LoFacingFrame!E33)</f>
        <v>31.8855</v>
      </c>
      <c r="C33">
        <f>AVERAGE(LoFacingFrame!C33,LoFacingFrame!F33)</f>
        <v>-30.799</v>
      </c>
      <c r="D33">
        <f>AVERAGE(LoFacingFrame!D33,LoFacingFrame!G33)</f>
        <v>0.46299999999999997</v>
      </c>
      <c r="E33">
        <f>LoFacingFrame!G33-LoFacingFrame!D33</f>
        <v>1.136</v>
      </c>
    </row>
    <row r="34" spans="1:5" ht="10.5">
      <c r="A34">
        <f>LoFacingFrame!A34</f>
        <v>4</v>
      </c>
      <c r="B34">
        <f>AVERAGE(LoFacingFrame!B34,LoFacingFrame!E34)</f>
        <v>46.2855</v>
      </c>
      <c r="C34">
        <f>AVERAGE(LoFacingFrame!C34,LoFacingFrame!F34)</f>
        <v>-30.799</v>
      </c>
      <c r="D34">
        <f>AVERAGE(LoFacingFrame!D34,LoFacingFrame!G34)</f>
        <v>0.46399999999999997</v>
      </c>
      <c r="E34">
        <f>LoFacingFrame!G34-LoFacingFrame!D34</f>
        <v>1.1179999999999999</v>
      </c>
    </row>
    <row r="35" spans="1:5" ht="10.5">
      <c r="A35">
        <f>LoFacingFrame!A35</f>
        <v>5</v>
      </c>
      <c r="B35">
        <f>AVERAGE(LoFacingFrame!B35,LoFacingFrame!E35)</f>
        <v>60.6855</v>
      </c>
      <c r="C35">
        <f>AVERAGE(LoFacingFrame!C35,LoFacingFrame!F35)</f>
        <v>-30.799</v>
      </c>
      <c r="D35">
        <f>AVERAGE(LoFacingFrame!D35,LoFacingFrame!G35)</f>
        <v>0.4635</v>
      </c>
      <c r="E35">
        <f>LoFacingFrame!G35-LoFacingFrame!D35</f>
        <v>1.077</v>
      </c>
    </row>
    <row r="36" spans="1:5" ht="10.5">
      <c r="A36">
        <f>LoFacingFrame!A36</f>
        <v>6</v>
      </c>
      <c r="B36">
        <f>AVERAGE(LoFacingFrame!B36,LoFacingFrame!E36)</f>
        <v>2.1019999999999968</v>
      </c>
      <c r="C36">
        <f>AVERAGE(LoFacingFrame!C36,LoFacingFrame!F36)</f>
        <v>-15.3995</v>
      </c>
      <c r="D36">
        <f>AVERAGE(LoFacingFrame!D36,LoFacingFrame!G36)</f>
        <v>0.45899999999999996</v>
      </c>
      <c r="E36" s="18">
        <f>LoFacingFrame!G36-LoFacingFrame!D36</f>
        <v>1.1119999999999999</v>
      </c>
    </row>
    <row r="37" spans="1:5" ht="10.5">
      <c r="A37">
        <f>LoFacingFrame!A37</f>
        <v>7</v>
      </c>
      <c r="B37">
        <f>AVERAGE(LoFacingFrame!B37,LoFacingFrame!E37)</f>
        <v>16.99375</v>
      </c>
      <c r="C37">
        <f>AVERAGE(LoFacingFrame!C37,LoFacingFrame!F37)</f>
        <v>-15.3995</v>
      </c>
      <c r="D37">
        <f>AVERAGE(LoFacingFrame!D37,LoFacingFrame!G37)</f>
        <v>0.45674999999999993</v>
      </c>
      <c r="E37" s="21">
        <f>LoFacingFrame!G37-LoFacingFrame!D37</f>
        <v>1.1164999999999998</v>
      </c>
    </row>
    <row r="38" spans="1:5" ht="10.5">
      <c r="A38">
        <f>LoFacingFrame!A38</f>
        <v>8</v>
      </c>
      <c r="B38">
        <f>AVERAGE(LoFacingFrame!B38,LoFacingFrame!E38)</f>
        <v>31.8855</v>
      </c>
      <c r="C38">
        <f>AVERAGE(LoFacingFrame!C38,LoFacingFrame!F38)</f>
        <v>-15.3995</v>
      </c>
      <c r="D38">
        <f>AVERAGE(LoFacingFrame!D38,LoFacingFrame!G38)</f>
        <v>0.45449999999999996</v>
      </c>
      <c r="E38" s="24">
        <f>LoFacingFrame!G38-LoFacingFrame!D38</f>
        <v>1.121</v>
      </c>
    </row>
    <row r="39" spans="1:5" ht="10.5">
      <c r="A39">
        <f>LoFacingFrame!A39</f>
        <v>9</v>
      </c>
      <c r="B39">
        <f>AVERAGE(LoFacingFrame!B39,LoFacingFrame!E39)</f>
        <v>46.2855</v>
      </c>
      <c r="C39">
        <f>AVERAGE(LoFacingFrame!C39,LoFacingFrame!F39)</f>
        <v>-15.398999999999997</v>
      </c>
      <c r="D39">
        <f>AVERAGE(LoFacingFrame!D39,LoFacingFrame!G39)</f>
        <v>0.4525</v>
      </c>
      <c r="E39">
        <f>LoFacingFrame!G39-LoFacingFrame!D39</f>
        <v>1.099</v>
      </c>
    </row>
    <row r="40" spans="1:5" ht="10.5">
      <c r="A40">
        <f>LoFacingFrame!A40</f>
        <v>10</v>
      </c>
      <c r="B40">
        <f>AVERAGE(LoFacingFrame!B40,LoFacingFrame!E40)</f>
        <v>60.6855</v>
      </c>
      <c r="C40">
        <f>AVERAGE(LoFacingFrame!C40,LoFacingFrame!F40)</f>
        <v>-15.398999999999997</v>
      </c>
      <c r="D40">
        <f>AVERAGE(LoFacingFrame!D40,LoFacingFrame!G40)</f>
        <v>0.4515</v>
      </c>
      <c r="E40">
        <f>LoFacingFrame!G40-LoFacingFrame!D40</f>
        <v>1.059</v>
      </c>
    </row>
    <row r="41" spans="1:5" ht="10.5">
      <c r="A41">
        <f>LoFacingFrame!A41</f>
        <v>11</v>
      </c>
      <c r="B41">
        <f>AVERAGE(LoFacingFrame!B41,LoFacingFrame!E41)</f>
        <v>2.1019999999999968</v>
      </c>
      <c r="C41">
        <f>AVERAGE(LoFacingFrame!C41,LoFacingFrame!F41)</f>
        <v>0.0005000000000006111</v>
      </c>
      <c r="D41">
        <f>AVERAGE(LoFacingFrame!D41,LoFacingFrame!G41)</f>
        <v>0.457</v>
      </c>
      <c r="E41" s="18">
        <f>LoFacingFrame!G41-LoFacingFrame!D41</f>
        <v>1.114</v>
      </c>
    </row>
    <row r="42" spans="1:5" ht="10.5">
      <c r="A42">
        <f>LoFacingFrame!A42</f>
        <v>12</v>
      </c>
      <c r="B42">
        <f>AVERAGE(LoFacingFrame!B42,LoFacingFrame!E42)</f>
        <v>16.99375</v>
      </c>
      <c r="C42">
        <f>AVERAGE(LoFacingFrame!C42,LoFacingFrame!F42)</f>
        <v>0.0007500000000000284</v>
      </c>
      <c r="D42">
        <f>AVERAGE(LoFacingFrame!D42,LoFacingFrame!G42)</f>
        <v>0.4565</v>
      </c>
      <c r="E42" s="21">
        <f>LoFacingFrame!G42-LoFacingFrame!D42</f>
        <v>1.119</v>
      </c>
    </row>
    <row r="43" spans="1:5" ht="10.5">
      <c r="A43">
        <f>LoFacingFrame!A43</f>
        <v>13</v>
      </c>
      <c r="B43">
        <f>AVERAGE(LoFacingFrame!B43,LoFacingFrame!E43)</f>
        <v>31.8855</v>
      </c>
      <c r="C43">
        <f>AVERAGE(LoFacingFrame!C43,LoFacingFrame!F43)</f>
        <v>0.0009999999999994458</v>
      </c>
      <c r="D43">
        <f>AVERAGE(LoFacingFrame!D43,LoFacingFrame!G43)</f>
        <v>0.456</v>
      </c>
      <c r="E43" s="24">
        <f>LoFacingFrame!G43-LoFacingFrame!D43</f>
        <v>1.124</v>
      </c>
    </row>
    <row r="44" spans="1:5" ht="10.5">
      <c r="A44">
        <f>LoFacingFrame!A44</f>
        <v>14</v>
      </c>
      <c r="B44">
        <f>AVERAGE(LoFacingFrame!B44,LoFacingFrame!E44)</f>
        <v>46.2855</v>
      </c>
      <c r="C44">
        <f>AVERAGE(LoFacingFrame!C44,LoFacingFrame!F44)</f>
        <v>0.0009999999999994458</v>
      </c>
      <c r="D44">
        <f>AVERAGE(LoFacingFrame!D44,LoFacingFrame!G44)</f>
        <v>0.4525</v>
      </c>
      <c r="E44">
        <f>LoFacingFrame!G44-LoFacingFrame!D44</f>
        <v>1.115</v>
      </c>
    </row>
    <row r="45" spans="1:5" ht="10.5">
      <c r="A45">
        <f>LoFacingFrame!A45</f>
        <v>15</v>
      </c>
      <c r="B45">
        <f>AVERAGE(LoFacingFrame!B45,LoFacingFrame!E45)</f>
        <v>60.6855</v>
      </c>
      <c r="C45">
        <f>AVERAGE(LoFacingFrame!C45,LoFacingFrame!F45)</f>
        <v>0.0009999999999994458</v>
      </c>
      <c r="D45">
        <f>AVERAGE(LoFacingFrame!D45,LoFacingFrame!G45)</f>
        <v>0.452</v>
      </c>
      <c r="E45">
        <f>LoFacingFrame!G45-LoFacingFrame!D45</f>
        <v>1.072</v>
      </c>
    </row>
    <row r="46" spans="1:5" ht="10.5">
      <c r="A46">
        <f>LoFacingFrame!A46</f>
        <v>16</v>
      </c>
      <c r="B46">
        <f>AVERAGE(LoFacingFrame!B46,LoFacingFrame!E46)</f>
        <v>2.1019999999999968</v>
      </c>
      <c r="C46">
        <f>AVERAGE(LoFacingFrame!C46,LoFacingFrame!F46)</f>
        <v>15.400500000000001</v>
      </c>
      <c r="D46">
        <f>AVERAGE(LoFacingFrame!D46,LoFacingFrame!G46)</f>
        <v>0.4595</v>
      </c>
      <c r="E46" s="18">
        <f>LoFacingFrame!G46-LoFacingFrame!D46</f>
        <v>1.109</v>
      </c>
    </row>
    <row r="47" spans="1:5" ht="10.5">
      <c r="A47">
        <f>LoFacingFrame!A47</f>
        <v>17</v>
      </c>
      <c r="B47">
        <f>AVERAGE(LoFacingFrame!B47,LoFacingFrame!E47)</f>
        <v>16.99375</v>
      </c>
      <c r="C47">
        <f>AVERAGE(LoFacingFrame!C47,LoFacingFrame!F47)</f>
        <v>15.40075</v>
      </c>
      <c r="D47">
        <f>AVERAGE(LoFacingFrame!D47,LoFacingFrame!G47)</f>
        <v>0.45699999999999996</v>
      </c>
      <c r="E47" s="21">
        <f>LoFacingFrame!G47-LoFacingFrame!D47</f>
        <v>1.115</v>
      </c>
    </row>
    <row r="48" spans="1:5" ht="10.5">
      <c r="A48">
        <f>LoFacingFrame!A48</f>
        <v>18</v>
      </c>
      <c r="B48">
        <f>AVERAGE(LoFacingFrame!B48,LoFacingFrame!E48)</f>
        <v>31.8855</v>
      </c>
      <c r="C48">
        <f>AVERAGE(LoFacingFrame!C48,LoFacingFrame!F48)</f>
        <v>15.401</v>
      </c>
      <c r="D48">
        <f>AVERAGE(LoFacingFrame!D48,LoFacingFrame!G48)</f>
        <v>0.45449999999999996</v>
      </c>
      <c r="E48" s="24">
        <f>LoFacingFrame!G48-LoFacingFrame!D48</f>
        <v>1.121</v>
      </c>
    </row>
    <row r="49" spans="1:5" ht="10.5">
      <c r="A49">
        <f>LoFacingFrame!A49</f>
        <v>19</v>
      </c>
      <c r="B49">
        <f>AVERAGE(LoFacingFrame!B49,LoFacingFrame!E49)</f>
        <v>46.2855</v>
      </c>
      <c r="C49">
        <f>AVERAGE(LoFacingFrame!C49,LoFacingFrame!F49)</f>
        <v>15.401</v>
      </c>
      <c r="D49">
        <f>AVERAGE(LoFacingFrame!D49,LoFacingFrame!G49)</f>
        <v>0.454</v>
      </c>
      <c r="E49">
        <f>LoFacingFrame!G49-LoFacingFrame!D49</f>
        <v>1.112</v>
      </c>
    </row>
    <row r="50" spans="1:5" ht="10.5">
      <c r="A50">
        <f>LoFacingFrame!A50</f>
        <v>20</v>
      </c>
      <c r="B50">
        <f>AVERAGE(LoFacingFrame!B50,LoFacingFrame!E50)</f>
        <v>60.684999999999995</v>
      </c>
      <c r="C50">
        <f>AVERAGE(LoFacingFrame!C50,LoFacingFrame!F50)</f>
        <v>15.401</v>
      </c>
      <c r="D50">
        <f>AVERAGE(LoFacingFrame!D50,LoFacingFrame!G50)</f>
        <v>0.4565</v>
      </c>
      <c r="E50">
        <f>LoFacingFrame!G50-LoFacingFrame!D50</f>
        <v>1.073</v>
      </c>
    </row>
    <row r="51" spans="1:5" ht="10.5">
      <c r="A51">
        <f>LoFacingFrame!A51</f>
        <v>21</v>
      </c>
      <c r="B51">
        <f>AVERAGE(LoFacingFrame!B51,LoFacingFrame!E51)</f>
        <v>2.1019999999999968</v>
      </c>
      <c r="C51">
        <f>AVERAGE(LoFacingFrame!C51,LoFacingFrame!F51)</f>
        <v>30.8005</v>
      </c>
      <c r="D51">
        <f>AVERAGE(LoFacingFrame!D51,LoFacingFrame!G51)</f>
        <v>0.4575</v>
      </c>
      <c r="E51">
        <f>LoFacingFrame!G51-LoFacingFrame!D51</f>
        <v>1.113</v>
      </c>
    </row>
    <row r="52" spans="1:5" ht="10.5">
      <c r="A52">
        <f>LoFacingFrame!A52</f>
        <v>22</v>
      </c>
      <c r="B52">
        <f>AVERAGE(LoFacingFrame!B52,LoFacingFrame!E52)</f>
        <v>16.99375</v>
      </c>
      <c r="C52">
        <f>AVERAGE(LoFacingFrame!C52,LoFacingFrame!F52)</f>
        <v>30.8005</v>
      </c>
      <c r="D52">
        <f>AVERAGE(LoFacingFrame!D52,LoFacingFrame!G52)</f>
        <v>0.4535</v>
      </c>
      <c r="E52">
        <f>LoFacingFrame!G52-LoFacingFrame!D52</f>
        <v>1.125</v>
      </c>
    </row>
    <row r="53" spans="1:5" ht="10.5">
      <c r="A53">
        <f>LoFacingFrame!A53</f>
        <v>23</v>
      </c>
      <c r="B53">
        <f>AVERAGE(LoFacingFrame!B53,LoFacingFrame!E53)</f>
        <v>31.8855</v>
      </c>
      <c r="C53">
        <f>AVERAGE(LoFacingFrame!C53,LoFacingFrame!F53)</f>
        <v>30.8005</v>
      </c>
      <c r="D53">
        <f>AVERAGE(LoFacingFrame!D53,LoFacingFrame!G53)</f>
        <v>0.4495</v>
      </c>
      <c r="E53">
        <f>LoFacingFrame!G53-LoFacingFrame!D53</f>
        <v>1.137</v>
      </c>
    </row>
    <row r="54" spans="1:5" ht="10.5">
      <c r="A54">
        <f>LoFacingFrame!A54</f>
        <v>24</v>
      </c>
      <c r="B54">
        <f>AVERAGE(LoFacingFrame!B54,LoFacingFrame!E54)</f>
        <v>46.285000000000004</v>
      </c>
      <c r="C54">
        <f>AVERAGE(LoFacingFrame!C54,LoFacingFrame!F54)</f>
        <v>30.801</v>
      </c>
      <c r="D54">
        <f>AVERAGE(LoFacingFrame!D54,LoFacingFrame!G54)</f>
        <v>0.44699999999999995</v>
      </c>
      <c r="E54">
        <f>LoFacingFrame!G54-LoFacingFrame!D54</f>
        <v>1.1239999999999999</v>
      </c>
    </row>
    <row r="55" spans="1:5" ht="10.5">
      <c r="A55">
        <f>LoFacingFrame!A55</f>
        <v>25</v>
      </c>
      <c r="B55">
        <f>AVERAGE(LoFacingFrame!B55,LoFacingFrame!E55)</f>
        <v>60.685</v>
      </c>
      <c r="C55">
        <f>AVERAGE(LoFacingFrame!C55,LoFacingFrame!F55)</f>
        <v>30.801</v>
      </c>
      <c r="D55">
        <f>AVERAGE(LoFacingFrame!D55,LoFacingFrame!G55)</f>
        <v>0.4475</v>
      </c>
      <c r="E55">
        <f>LoFacingFrame!G55-LoFacingFrame!D55</f>
        <v>1.097</v>
      </c>
    </row>
    <row r="56" spans="1:5" ht="10.5">
      <c r="A56" t="str">
        <f>LoFacingFrame!A56</f>
        <v>Facings</v>
      </c>
      <c r="B56" t="str">
        <f>LoFacingFrame!B56</f>
        <v>x</v>
      </c>
      <c r="C56" t="str">
        <f>LoFacingFrame!C56</f>
        <v>y</v>
      </c>
      <c r="D56" t="s">
        <v>292</v>
      </c>
      <c r="E56" t="s">
        <v>292</v>
      </c>
    </row>
    <row r="57" spans="1:5" ht="10.5">
      <c r="A57">
        <f>LoFacingFrame!A57</f>
        <v>1</v>
      </c>
      <c r="B57">
        <f>AVERAGE(LoFacingFrame!B57,LoFacingFrame!E57)</f>
        <v>1.3631666666666682</v>
      </c>
      <c r="C57">
        <f>AVERAGE(LoFacingFrame!C57,LoFacingFrame!F57)</f>
        <v>-0.18066666666667075</v>
      </c>
      <c r="D57">
        <f>AVERAGE(LoFacingFrame!D57,LoFacingFrame!G57)</f>
        <v>0.4623333333333333</v>
      </c>
      <c r="E57">
        <f>LoFacingFrame!G57-LoFacingFrame!D57</f>
        <v>0.9306666666666666</v>
      </c>
    </row>
    <row r="58" spans="1:5" ht="10.5">
      <c r="A58">
        <f>LoFacingFrame!A58</f>
        <v>2</v>
      </c>
      <c r="B58">
        <f>AVERAGE(LoFacingFrame!B58,LoFacingFrame!E58)</f>
        <v>0.20166666666666444</v>
      </c>
      <c r="C58">
        <f>AVERAGE(LoFacingFrame!C58,LoFacingFrame!F58)</f>
        <v>0.018000000000000682</v>
      </c>
      <c r="D58">
        <f>AVERAGE(LoFacingFrame!D58,LoFacingFrame!G58)</f>
        <v>0.45799999999999996</v>
      </c>
      <c r="E58">
        <f>LoFacingFrame!G58-LoFacingFrame!D58</f>
        <v>0.897</v>
      </c>
    </row>
    <row r="59" spans="1:5" ht="10.5">
      <c r="A59">
        <f>LoFacingFrame!A59</f>
        <v>3</v>
      </c>
      <c r="B59">
        <f>AVERAGE(LoFacingFrame!B59,LoFacingFrame!E59)</f>
        <v>30.999833333333328</v>
      </c>
      <c r="C59">
        <f>AVERAGE(LoFacingFrame!C59,LoFacingFrame!F59)</f>
        <v>0.026166666666668448</v>
      </c>
      <c r="D59">
        <f>AVERAGE(LoFacingFrame!D59,LoFacingFrame!G59)</f>
        <v>0.4548333333333333</v>
      </c>
      <c r="E59">
        <f>LoFacingFrame!G59-LoFacingFrame!D59</f>
        <v>0.9033333333333333</v>
      </c>
    </row>
    <row r="60" spans="1:5" ht="10.5">
      <c r="A60" t="str">
        <f>LoFacingFrame!A60</f>
        <v>facingPlane</v>
      </c>
      <c r="B60" t="str">
        <f>LoFacingFrame!B60</f>
        <v>x</v>
      </c>
      <c r="C60" t="str">
        <f>LoFacingFrame!C60</f>
        <v>y</v>
      </c>
      <c r="D60" t="s">
        <v>292</v>
      </c>
      <c r="E60" t="s">
        <v>292</v>
      </c>
    </row>
    <row r="61" spans="1:5" ht="10.5">
      <c r="A61">
        <f>LoFacingFrame!A61</f>
        <v>1</v>
      </c>
      <c r="B61">
        <f>AVERAGE(LoFacingFrame!B61,LoFacingFrame!E61)</f>
        <v>0.28325000000000244</v>
      </c>
      <c r="C61">
        <f>AVERAGE(LoFacingFrame!C61,LoFacingFrame!F61)</f>
        <v>0.030749999999997613</v>
      </c>
      <c r="D61">
        <f>AVERAGE(LoFacingFrame!D61,LoFacingFrame!G61)</f>
        <v>0.458</v>
      </c>
      <c r="E61">
        <f>LoFacingFrame!G61-LoFacingFrame!D61</f>
        <v>0.89</v>
      </c>
    </row>
    <row r="62" spans="1:5" ht="10.5">
      <c r="A62">
        <f>LoFacingFrame!A62</f>
        <v>2</v>
      </c>
      <c r="B62">
        <f>AVERAGE(LoFacingFrame!B62,LoFacingFrame!E62)</f>
        <v>0.24262500000000387</v>
      </c>
      <c r="C62">
        <f>AVERAGE(LoFacingFrame!C62,LoFacingFrame!F62)</f>
        <v>0.022500000000000853</v>
      </c>
      <c r="D62">
        <f>AVERAGE(LoFacingFrame!D62,LoFacingFrame!G62)</f>
        <v>0.45812500000000006</v>
      </c>
      <c r="E62">
        <f>LoFacingFrame!G62-LoFacingFrame!D62</f>
        <v>0.89075</v>
      </c>
    </row>
    <row r="63" spans="1:5" ht="10.5">
      <c r="A63">
        <f>LoFacingFrame!A63</f>
        <v>3</v>
      </c>
      <c r="B63">
        <f>AVERAGE(LoFacingFrame!B63,LoFacingFrame!E63)</f>
        <v>0.20166666666666444</v>
      </c>
      <c r="C63">
        <f>AVERAGE(LoFacingFrame!C63,LoFacingFrame!F63)</f>
        <v>0.018000000000000682</v>
      </c>
      <c r="D63">
        <f>AVERAGE(LoFacingFrame!D63,LoFacingFrame!G63)</f>
        <v>0.45799999999999996</v>
      </c>
      <c r="E63">
        <f>LoFacingFrame!G63-LoFacingFrame!D63</f>
        <v>0.897</v>
      </c>
    </row>
    <row r="64" spans="1:5" ht="10.5">
      <c r="A64">
        <f>LoFacingFrame!A64</f>
        <v>4</v>
      </c>
      <c r="B64">
        <f>AVERAGE(LoFacingFrame!B64,LoFacingFrame!E64)</f>
        <v>30.99975</v>
      </c>
      <c r="C64">
        <f>AVERAGE(LoFacingFrame!C64,LoFacingFrame!F64)</f>
        <v>0.02575000000000216</v>
      </c>
      <c r="D64">
        <f>AVERAGE(LoFacingFrame!D64,LoFacingFrame!G64)</f>
        <v>0.455</v>
      </c>
      <c r="E64">
        <f>LoFacingFrame!G64-LoFacingFrame!D64</f>
        <v>0.8990000000000001</v>
      </c>
    </row>
    <row r="65" spans="1:5" ht="10.5">
      <c r="A65">
        <f>LoFacingFrame!A65</f>
        <v>5</v>
      </c>
      <c r="B65">
        <f>AVERAGE(LoFacingFrame!B65,LoFacingFrame!E65)</f>
        <v>30.999874999999996</v>
      </c>
      <c r="C65">
        <f>AVERAGE(LoFacingFrame!C65,LoFacingFrame!F65)</f>
        <v>0.026125000000000398</v>
      </c>
      <c r="D65">
        <f>AVERAGE(LoFacingFrame!D65,LoFacingFrame!G65)</f>
        <v>0.455125</v>
      </c>
      <c r="E65">
        <f>LoFacingFrame!G65-LoFacingFrame!D65</f>
        <v>0.90025</v>
      </c>
    </row>
    <row r="66" spans="1:5" ht="10.5">
      <c r="A66">
        <f>LoFacingFrame!A66</f>
        <v>6</v>
      </c>
      <c r="B66">
        <f>AVERAGE(LoFacingFrame!B66,LoFacingFrame!E66)</f>
        <v>30.999833333333328</v>
      </c>
      <c r="C66">
        <f>AVERAGE(LoFacingFrame!C66,LoFacingFrame!F66)</f>
        <v>0.026166666666668448</v>
      </c>
      <c r="D66">
        <f>AVERAGE(LoFacingFrame!D66,LoFacingFrame!G66)</f>
        <v>0.4548333333333333</v>
      </c>
      <c r="E66">
        <f>LoFacingFrame!G66-LoFacingFrame!D66</f>
        <v>0.9033333333333333</v>
      </c>
    </row>
    <row r="67" ht="10.5">
      <c r="A67">
        <f>LoFacingFrame!A67</f>
        <v>7</v>
      </c>
    </row>
    <row r="68" ht="10.5">
      <c r="A68">
        <f>LoFacingFrame!A68</f>
        <v>8</v>
      </c>
    </row>
    <row r="69" spans="1:5" ht="10.5">
      <c r="A69" t="str">
        <f>LoFacingFrame!A69</f>
        <v>zReference</v>
      </c>
      <c r="B69" t="str">
        <f>LoFacingFrame!B69</f>
        <v>x</v>
      </c>
      <c r="C69" t="str">
        <f>LoFacingFrame!C69</f>
        <v>y</v>
      </c>
      <c r="D69" t="s">
        <v>292</v>
      </c>
      <c r="E69" t="s">
        <v>292</v>
      </c>
    </row>
    <row r="70" spans="1:5" ht="10.5">
      <c r="A70">
        <f>LoFacingFrame!A70</f>
        <v>1</v>
      </c>
      <c r="B70">
        <f>AVERAGE(LoFacingFrame!B70,LoFacingFrame!E70)</f>
        <v>-60.58862462578739</v>
      </c>
      <c r="C70">
        <f>AVERAGE(LoFacingFrame!C70,LoFacingFrame!F70)</f>
        <v>-28.795074190088563</v>
      </c>
      <c r="D70">
        <f>AVERAGE(LoFacingFrame!D70,LoFacingFrame!G70)</f>
        <v>0.8698594011546411</v>
      </c>
      <c r="E70">
        <f>LoFacingFrame!G70-LoFacingFrame!D70</f>
        <v>0.28499949619448883</v>
      </c>
    </row>
    <row r="71" spans="1:5" ht="10.5">
      <c r="A71">
        <f>LoFacingFrame!A71</f>
        <v>2</v>
      </c>
      <c r="B71">
        <f>AVERAGE(LoFacingFrame!B71,LoFacingFrame!E71)</f>
        <v>59.38737827963922</v>
      </c>
      <c r="C71">
        <f>AVERAGE(LoFacingFrame!C71,LoFacingFrame!F71)</f>
        <v>-31.19480893315223</v>
      </c>
      <c r="D71">
        <f>AVERAGE(LoFacingFrame!D71,LoFacingFrame!G71)</f>
        <v>0.8107773887559717</v>
      </c>
      <c r="E71">
        <f>LoFacingFrame!G71-LoFacingFrame!D71</f>
        <v>0.28499949619448905</v>
      </c>
    </row>
    <row r="72" spans="1:5" ht="10.5">
      <c r="A72">
        <f>LoFacingFrame!A72</f>
        <v>3</v>
      </c>
      <c r="B72">
        <f>AVERAGE(LoFacingFrame!B72,LoFacingFrame!E72)</f>
        <v>60.58724565117106</v>
      </c>
      <c r="C72">
        <f>AVERAGE(LoFacingFrame!C72,LoFacingFrame!F72)</f>
        <v>28.793192519561075</v>
      </c>
      <c r="D72">
        <f>AVERAGE(LoFacingFrame!D72,LoFacingFrame!G72)</f>
        <v>0.8009500236812463</v>
      </c>
      <c r="E72">
        <f>LoFacingFrame!G72-LoFacingFrame!D72</f>
        <v>0.28499949619448894</v>
      </c>
    </row>
    <row r="73" spans="1:5" ht="10.5">
      <c r="A73" t="str">
        <f>LoFacingFrame!A73</f>
        <v>hybrid</v>
      </c>
      <c r="B73" t="str">
        <f>LoFacingFrame!B73</f>
        <v>x</v>
      </c>
      <c r="C73" t="str">
        <f>LoFacingFrame!C73</f>
        <v>y</v>
      </c>
      <c r="D73" t="s">
        <v>292</v>
      </c>
      <c r="E73" t="s">
        <v>292</v>
      </c>
    </row>
    <row r="74" spans="1:5" ht="10.5">
      <c r="A74" t="str">
        <f>LoFacingFrame!A74</f>
        <v>leftNear</v>
      </c>
      <c r="B74">
        <f>AVERAGE(LoFacingFrame!B74,LoFacingFrame!E74)</f>
        <v>69.504</v>
      </c>
      <c r="C74">
        <f>AVERAGE(LoFacingFrame!C74,LoFacingFrame!F74)</f>
        <v>-1.1920000000000002</v>
      </c>
      <c r="D74">
        <f>AVERAGE(LoFacingFrame!D74,LoFacingFrame!G74)</f>
        <v>0.4504999999999999</v>
      </c>
      <c r="E74">
        <f>LoFacingFrame!G74-LoFacingFrame!D74</f>
        <v>3.101</v>
      </c>
    </row>
    <row r="75" spans="1:5" ht="10.5">
      <c r="A75" t="str">
        <f>LoFacingFrame!A75</f>
        <v>rightNear</v>
      </c>
      <c r="B75">
        <f>AVERAGE(LoFacingFrame!B75,LoFacingFrame!E75)</f>
        <v>85.0895</v>
      </c>
      <c r="C75">
        <f>AVERAGE(LoFacingFrame!C75,LoFacingFrame!F75)</f>
        <v>-1.0090000000000003</v>
      </c>
      <c r="D75">
        <f>AVERAGE(LoFacingFrame!D75,LoFacingFrame!G75)</f>
        <v>0.42400000000000004</v>
      </c>
      <c r="E75">
        <f>LoFacingFrame!G75-LoFacingFrame!D75</f>
        <v>3.112</v>
      </c>
    </row>
    <row r="76" spans="1:5" ht="10.5">
      <c r="A76" t="str">
        <f>LoFacingFrame!A76</f>
        <v>leftMIddle</v>
      </c>
      <c r="B76">
        <f>AVERAGE(LoFacingFrame!B76,LoFacingFrame!E76)</f>
        <v>72.711</v>
      </c>
      <c r="C76">
        <f>AVERAGE(LoFacingFrame!C76,LoFacingFrame!F76)</f>
        <v>0.7495000000000012</v>
      </c>
      <c r="D76">
        <f>AVERAGE(LoFacingFrame!D76,LoFacingFrame!G76)</f>
        <v>0.45499999999999996</v>
      </c>
      <c r="E76">
        <f>LoFacingFrame!G76-LoFacingFrame!D76</f>
        <v>3.1819999999999995</v>
      </c>
    </row>
    <row r="77" spans="1:5" ht="10.5">
      <c r="A77" t="str">
        <f>LoFacingFrame!A77</f>
        <v>rightMiddle</v>
      </c>
      <c r="B77">
        <f>AVERAGE(LoFacingFrame!B77,LoFacingFrame!E77)</f>
        <v>89.098</v>
      </c>
      <c r="C77">
        <f>AVERAGE(LoFacingFrame!C77,LoFacingFrame!F77)</f>
        <v>0.9239999999999995</v>
      </c>
      <c r="D77">
        <f>AVERAGE(LoFacingFrame!D77,LoFacingFrame!G77)</f>
        <v>0.44899999999999995</v>
      </c>
      <c r="E77">
        <f>LoFacingFrame!G77-LoFacingFrame!D77</f>
        <v>3.1420000000000003</v>
      </c>
    </row>
    <row r="78" spans="1:5" ht="10.5">
      <c r="A78" t="str">
        <f>LoFacingFrame!A78</f>
        <v>leftFar</v>
      </c>
      <c r="B78">
        <f>AVERAGE(LoFacingFrame!B78,LoFacingFrame!E78)</f>
        <v>69.48249999999999</v>
      </c>
      <c r="C78">
        <f>AVERAGE(LoFacingFrame!C78,LoFacingFrame!F78)</f>
        <v>-0.008499999999997954</v>
      </c>
      <c r="D78">
        <f>AVERAGE(LoFacingFrame!D78,LoFacingFrame!G78)</f>
        <v>0.48349999999999993</v>
      </c>
      <c r="E78">
        <f>LoFacingFrame!G78-LoFacingFrame!D78</f>
        <v>3.1550000000000002</v>
      </c>
    </row>
    <row r="79" spans="1:5" ht="10.5">
      <c r="A79" t="str">
        <f>LoFacingFrame!A79</f>
        <v>rightFar</v>
      </c>
      <c r="B79">
        <f>AVERAGE(LoFacingFrame!B79,LoFacingFrame!E79)</f>
        <v>88.946</v>
      </c>
      <c r="C79">
        <f>AVERAGE(LoFacingFrame!C79,LoFacingFrame!F79)</f>
        <v>0.134999999999998</v>
      </c>
      <c r="D79">
        <f>AVERAGE(LoFacingFrame!D79,LoFacingFrame!G79)</f>
        <v>0.49250000000000005</v>
      </c>
      <c r="E79">
        <f>LoFacingFrame!G79-LoFacingFrame!D79</f>
        <v>3.173</v>
      </c>
    </row>
    <row r="80" spans="1:5" ht="10.5">
      <c r="A80" t="str">
        <f>LoFacingFrame!A80</f>
        <v>C74C73</v>
      </c>
      <c r="B80">
        <f>AVERAGE(LoFacingFrame!B80,LoFacingFrame!E80)</f>
        <v>73.054</v>
      </c>
      <c r="C80">
        <f>AVERAGE(LoFacingFrame!C80,LoFacingFrame!F80)</f>
        <v>0.030500000000003524</v>
      </c>
      <c r="D80">
        <f>AVERAGE(LoFacingFrame!D80,LoFacingFrame!G80)</f>
        <v>0.488</v>
      </c>
      <c r="E80">
        <f>LoFacingFrame!G80-LoFacingFrame!D80</f>
        <v>5.662</v>
      </c>
    </row>
    <row r="81" spans="1:5" ht="10.5">
      <c r="A81" t="str">
        <f>LoFacingFrame!A81</f>
        <v>C55C53</v>
      </c>
      <c r="B81">
        <f>AVERAGE(LoFacingFrame!B81,LoFacingFrame!E81)</f>
        <v>83.6945</v>
      </c>
      <c r="C81">
        <f>AVERAGE(LoFacingFrame!C81,LoFacingFrame!F81)</f>
        <v>0.10699999999999932</v>
      </c>
      <c r="D81">
        <f>AVERAGE(LoFacingFrame!D81,LoFacingFrame!G81)</f>
        <v>0.48350000000000004</v>
      </c>
      <c r="E81">
        <f>LoFacingFrame!G81-LoFacingFrame!D81</f>
        <v>5.683</v>
      </c>
    </row>
    <row r="82" spans="1:5" ht="10.5">
      <c r="A82" t="str">
        <f>LoFacingFrame!A82</f>
        <v>C56C54</v>
      </c>
      <c r="B82">
        <f>AVERAGE(LoFacingFrame!B82,LoFacingFrame!E82)</f>
        <v>71.4295</v>
      </c>
      <c r="C82">
        <f>AVERAGE(LoFacingFrame!C82,LoFacingFrame!F82)</f>
        <v>0.030000000000001137</v>
      </c>
      <c r="D82">
        <f>AVERAGE(LoFacingFrame!D82,LoFacingFrame!G82)</f>
        <v>0.4854999999999998</v>
      </c>
      <c r="E82">
        <f>LoFacingFrame!G82-LoFacingFrame!D82</f>
        <v>5.3870000000000005</v>
      </c>
    </row>
  </sheetData>
  <printOptions/>
  <pageMargins left="0.75" right="0.75" top="1" bottom="1" header="0.512" footer="0.512"/>
  <pageSetup fitToHeight="1" fitToWidth="1" orientation="portrait" paperSize="9" scale="60" r:id="rId1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A31">
      <selection activeCell="O35" sqref="O35"/>
    </sheetView>
  </sheetViews>
  <sheetFormatPr defaultColWidth="9.140625" defaultRowHeight="12"/>
  <cols>
    <col min="1" max="3" width="12.00390625" style="0" customWidth="1"/>
    <col min="4" max="4" width="13.00390625" style="0" customWidth="1"/>
    <col min="5" max="16384" width="12.00390625" style="0" customWidth="1"/>
  </cols>
  <sheetData>
    <row r="1" ht="10.5">
      <c r="A1" t="s">
        <v>375</v>
      </c>
    </row>
    <row r="2" spans="1:8" ht="10.5">
      <c r="A2" t="s">
        <v>376</v>
      </c>
      <c r="H2" t="s">
        <v>377</v>
      </c>
    </row>
    <row r="3" spans="1:13" ht="10.5">
      <c r="A3" t="s">
        <v>387</v>
      </c>
      <c r="B3" s="25">
        <f>AVERAGE(MidplaneThickness!C5:C9,MidplaneThickness!C31:C35)</f>
        <v>-30.799474999999994</v>
      </c>
      <c r="C3" s="25">
        <f>AVERAGE(MidplaneThickness!C10:C14,MidplaneThickness!C36:C40)</f>
        <v>-15.39965</v>
      </c>
      <c r="D3" s="25">
        <f>AVERAGE(MidplaneThickness!C15:C19,MidplaneThickness!C41:C45)</f>
        <v>0.0004749999999999588</v>
      </c>
      <c r="E3" s="25">
        <f>AVERAGE(MidplaneThickness!C20:C24,MidplaneThickness!C46:C50)</f>
        <v>15.400425000000002</v>
      </c>
      <c r="F3" s="25">
        <f>AVERAGE(MidplaneThickness!C25:C29,MidplaneThickness!C51:C55)</f>
        <v>30.800349999999998</v>
      </c>
      <c r="H3" t="str">
        <f aca="true" t="shared" si="0" ref="H3:M3">A3</f>
        <v>x\y</v>
      </c>
      <c r="I3" s="25">
        <f t="shared" si="0"/>
        <v>-30.799474999999994</v>
      </c>
      <c r="J3" s="25">
        <f t="shared" si="0"/>
        <v>-15.39965</v>
      </c>
      <c r="K3" s="25">
        <f t="shared" si="0"/>
        <v>0.0004749999999999588</v>
      </c>
      <c r="L3" s="25">
        <f t="shared" si="0"/>
        <v>15.400425000000002</v>
      </c>
      <c r="M3" s="25">
        <f t="shared" si="0"/>
        <v>30.800349999999998</v>
      </c>
    </row>
    <row r="4" spans="1:13" ht="10.5">
      <c r="A4" s="25">
        <f>AVERAGE(MidplaneThickness!B5,MidplaneThickness!B10,MidplaneThickness!B15,MidplaneThickness!B20,MidplaneThickness!B25)</f>
        <v>-60.9987</v>
      </c>
      <c r="B4" s="15">
        <f ca="1">INDIRECT(ADDRESS(5+(ROW()-4)+(COLUMN()-2)*5,4,3,TRUE,"MidplaneThickness"))</f>
        <v>0.3955</v>
      </c>
      <c r="C4" s="16">
        <f ca="1" t="shared" si="1" ref="C4:F8">INDIRECT(ADDRESS(5+(ROW()-4)+(COLUMN()-2)*5,4,3,TRUE,"MidplaneThickness"))</f>
        <v>0.39</v>
      </c>
      <c r="D4" s="16">
        <f ca="1" t="shared" si="1"/>
        <v>0.3915</v>
      </c>
      <c r="E4" s="16">
        <f ca="1" t="shared" si="1"/>
        <v>0.3945</v>
      </c>
      <c r="F4" s="17">
        <f ca="1" t="shared" si="1"/>
        <v>0.3865</v>
      </c>
      <c r="H4" s="25">
        <f aca="true" t="shared" si="2" ref="H4:H13">A4</f>
        <v>-60.9987</v>
      </c>
      <c r="I4" s="15">
        <f ca="1">INDIRECT(ADDRESS(5+(ROW()-4)+(COLUMN()-9)*5,5,3,TRUE,"MidplaneThickness"))</f>
        <v>1.0630000000000002</v>
      </c>
      <c r="J4" s="16">
        <f ca="1" t="shared" si="3" ref="J4:M8">INDIRECT(ADDRESS(5+(ROW()-4)+(COLUMN()-9)*5,5,3,TRUE,"MidplaneThickness"))</f>
        <v>1.036</v>
      </c>
      <c r="K4" s="16">
        <f ca="1" t="shared" si="3"/>
        <v>1.049</v>
      </c>
      <c r="L4" s="16">
        <f ca="1" t="shared" si="3"/>
        <v>1.049</v>
      </c>
      <c r="M4" s="17">
        <f ca="1" t="shared" si="3"/>
        <v>1.057</v>
      </c>
    </row>
    <row r="5" spans="1:13" ht="10.5">
      <c r="A5" s="25">
        <f>AVERAGE(MidplaneThickness!B6,MidplaneThickness!B11,MidplaneThickness!B16,MidplaneThickness!B21,MidplaneThickness!B26)</f>
        <v>-46.598699999999994</v>
      </c>
      <c r="B5" s="19">
        <f ca="1">INDIRECT(ADDRESS(5+(ROW()-4)+(COLUMN()-2)*5,4,3,TRUE,"MidplaneThickness"))</f>
        <v>0.4115</v>
      </c>
      <c r="C5" s="14">
        <f ca="1" t="shared" si="1"/>
        <v>0.41</v>
      </c>
      <c r="D5" s="14">
        <f ca="1" t="shared" si="1"/>
        <v>0.4075</v>
      </c>
      <c r="E5" s="14">
        <f ca="1" t="shared" si="1"/>
        <v>0.4085</v>
      </c>
      <c r="F5" s="20">
        <f ca="1" t="shared" si="1"/>
        <v>0.40549999999999997</v>
      </c>
      <c r="H5" s="25">
        <f t="shared" si="2"/>
        <v>-46.598699999999994</v>
      </c>
      <c r="I5" s="19">
        <f ca="1">INDIRECT(ADDRESS(5+(ROW()-4)+(COLUMN()-9)*5,5,3,TRUE,"MidplaneThickness"))</f>
        <v>1.119</v>
      </c>
      <c r="J5" s="14">
        <f ca="1" t="shared" si="3"/>
        <v>1.092</v>
      </c>
      <c r="K5" s="14">
        <f ca="1" t="shared" si="3"/>
        <v>1.097</v>
      </c>
      <c r="L5" s="14">
        <f ca="1" t="shared" si="3"/>
        <v>1.097</v>
      </c>
      <c r="M5" s="20">
        <f ca="1" t="shared" si="3"/>
        <v>1.109</v>
      </c>
    </row>
    <row r="6" spans="1:13" ht="10.5">
      <c r="A6" s="25">
        <f>AVERAGE(MidplaneThickness!B7,MidplaneThickness!B12,MidplaneThickness!B17,MidplaneThickness!B22,MidplaneThickness!B27)</f>
        <v>-32.198899999999995</v>
      </c>
      <c r="B6" s="19">
        <f ca="1">INDIRECT(ADDRESS(5+(ROW()-4)+(COLUMN()-2)*5,4,3,TRUE,"MidplaneThickness"))</f>
        <v>0.42749999999999994</v>
      </c>
      <c r="C6" s="14">
        <f ca="1" t="shared" si="1"/>
        <v>0.4235</v>
      </c>
      <c r="D6" s="14">
        <f ca="1" t="shared" si="1"/>
        <v>0.426</v>
      </c>
      <c r="E6" s="14">
        <f ca="1" t="shared" si="1"/>
        <v>0.4265</v>
      </c>
      <c r="F6" s="20">
        <f ca="1" t="shared" si="1"/>
        <v>0.4225</v>
      </c>
      <c r="H6" s="25">
        <f t="shared" si="2"/>
        <v>-32.198899999999995</v>
      </c>
      <c r="I6" s="19">
        <f ca="1">INDIRECT(ADDRESS(5+(ROW()-4)+(COLUMN()-9)*5,5,3,TRUE,"MidplaneThickness"))</f>
        <v>1.1469999999999998</v>
      </c>
      <c r="J6" s="14">
        <f ca="1" t="shared" si="3"/>
        <v>1.121</v>
      </c>
      <c r="K6" s="14">
        <f ca="1" t="shared" si="3"/>
        <v>1.12</v>
      </c>
      <c r="L6" s="14">
        <f ca="1" t="shared" si="3"/>
        <v>1.115</v>
      </c>
      <c r="M6" s="20">
        <f ca="1" t="shared" si="3"/>
        <v>1.129</v>
      </c>
    </row>
    <row r="7" spans="1:13" ht="10.5">
      <c r="A7" s="25">
        <f>AVERAGE(MidplaneThickness!B8,MidplaneThickness!B13,MidplaneThickness!B18,MidplaneThickness!B23,MidplaneThickness!B28)</f>
        <v>-17.7989</v>
      </c>
      <c r="B7" s="19">
        <f ca="1">INDIRECT(ADDRESS(5+(ROW()-4)+(COLUMN()-2)*5,4,3,TRUE,"MidplaneThickness"))</f>
        <v>0.44099999999999995</v>
      </c>
      <c r="C7" s="14">
        <f ca="1" t="shared" si="1"/>
        <v>0.439</v>
      </c>
      <c r="D7" s="14">
        <f ca="1" t="shared" si="1"/>
        <v>0.4415</v>
      </c>
      <c r="E7" s="14">
        <f ca="1" t="shared" si="1"/>
        <v>0.4445</v>
      </c>
      <c r="F7" s="20">
        <f ca="1" t="shared" si="1"/>
        <v>0.44099999999999995</v>
      </c>
      <c r="H7" s="25">
        <f t="shared" si="2"/>
        <v>-17.7989</v>
      </c>
      <c r="I7" s="19">
        <f ca="1">INDIRECT(ADDRESS(5+(ROW()-4)+(COLUMN()-9)*5,5,3,TRUE,"MidplaneThickness"))</f>
        <v>1.152</v>
      </c>
      <c r="J7" s="14">
        <f ca="1" t="shared" si="3"/>
        <v>1.12</v>
      </c>
      <c r="K7" s="14">
        <f ca="1" t="shared" si="3"/>
        <v>1.129</v>
      </c>
      <c r="L7" s="14">
        <f ca="1" t="shared" si="3"/>
        <v>1.123</v>
      </c>
      <c r="M7" s="20">
        <f ca="1" t="shared" si="3"/>
        <v>1.132</v>
      </c>
    </row>
    <row r="8" spans="1:13" ht="10.5">
      <c r="A8" s="25">
        <f>AVERAGE(MidplaneThickness!B9,MidplaneThickness!B14,MidplaneThickness!B19,MidplaneThickness!B24,MidplaneThickness!B29)</f>
        <v>-3.3987000000000016</v>
      </c>
      <c r="B8" s="19">
        <f ca="1">INDIRECT(ADDRESS(5+(ROW()-4)+(COLUMN()-2)*5,4,3,TRUE,"MidplaneThickness"))</f>
        <v>0.45399999999999996</v>
      </c>
      <c r="C8" s="14">
        <f ca="1" t="shared" si="1"/>
        <v>0.453</v>
      </c>
      <c r="D8" s="14">
        <f ca="1" t="shared" si="1"/>
        <v>0.45499999999999996</v>
      </c>
      <c r="E8" s="14">
        <f ca="1" t="shared" si="1"/>
        <v>0.45099999999999996</v>
      </c>
      <c r="F8" s="20">
        <f ca="1" t="shared" si="1"/>
        <v>0.45649999999999996</v>
      </c>
      <c r="H8" s="25">
        <f t="shared" si="2"/>
        <v>-3.3987000000000016</v>
      </c>
      <c r="I8" s="19">
        <f ca="1">INDIRECT(ADDRESS(5+(ROW()-4)+(COLUMN()-9)*5,5,3,TRUE,"MidplaneThickness"))</f>
        <v>1.138</v>
      </c>
      <c r="J8" s="14">
        <f ca="1" t="shared" si="3"/>
        <v>1.11</v>
      </c>
      <c r="K8" s="14">
        <f ca="1" t="shared" si="3"/>
        <v>1.1159999999999999</v>
      </c>
      <c r="L8" s="14">
        <f ca="1" t="shared" si="3"/>
        <v>1.1199999999999999</v>
      </c>
      <c r="M8" s="20">
        <f ca="1" t="shared" si="3"/>
        <v>1.129</v>
      </c>
    </row>
    <row r="9" spans="1:13" ht="10.5">
      <c r="A9" s="25">
        <f>AVERAGE(MidplaneThickness!B31,MidplaneThickness!B36,MidplaneThickness!B41,MidplaneThickness!B46,MidplaneThickness!B51)</f>
        <v>2.1019999999999968</v>
      </c>
      <c r="B9" s="19">
        <f ca="1">INDIRECT(ADDRESS(31+(ROW()-9)+(COLUMN()-2)*5,4,3,TRUE,"MidplaneThickness"))</f>
        <v>0.461</v>
      </c>
      <c r="C9" s="14">
        <f ca="1" t="shared" si="4" ref="C9:F13">INDIRECT(ADDRESS(31+(ROW()-9)+(COLUMN()-2)*5,4,3,TRUE,"MidplaneThickness"))</f>
        <v>0.45899999999999996</v>
      </c>
      <c r="D9" s="14">
        <f ca="1" t="shared" si="4"/>
        <v>0.457</v>
      </c>
      <c r="E9" s="14">
        <f ca="1" t="shared" si="4"/>
        <v>0.4595</v>
      </c>
      <c r="F9" s="20">
        <f ca="1" t="shared" si="4"/>
        <v>0.4575</v>
      </c>
      <c r="H9" s="25">
        <f t="shared" si="2"/>
        <v>2.1019999999999968</v>
      </c>
      <c r="I9" s="19">
        <f ca="1">INDIRECT(ADDRESS(31+(ROW()-9)+(COLUMN()-9)*5,5,3,TRUE,"MidplaneThickness"))</f>
        <v>1.114</v>
      </c>
      <c r="J9" s="14">
        <f ca="1" t="shared" si="5" ref="J9:M13">INDIRECT(ADDRESS(31+(ROW()-9)+(COLUMN()-9)*5,5,3,TRUE,"MidplaneThickness"))</f>
        <v>1.1119999999999999</v>
      </c>
      <c r="K9" s="14">
        <f ca="1" t="shared" si="5"/>
        <v>1.114</v>
      </c>
      <c r="L9" s="14">
        <f ca="1" t="shared" si="5"/>
        <v>1.109</v>
      </c>
      <c r="M9" s="20">
        <f ca="1" t="shared" si="5"/>
        <v>1.113</v>
      </c>
    </row>
    <row r="10" spans="1:13" ht="10.5">
      <c r="A10" s="25">
        <f>AVERAGE(MidplaneThickness!B32,MidplaneThickness!B37,MidplaneThickness!B42,MidplaneThickness!B47,MidplaneThickness!B52)</f>
        <v>16.99375</v>
      </c>
      <c r="B10" s="19">
        <f ca="1">INDIRECT(ADDRESS(31+(ROW()-9)+(COLUMN()-2)*5,4,3,TRUE,"MidplaneThickness"))</f>
        <v>0.46199999999999997</v>
      </c>
      <c r="C10" s="14">
        <f ca="1" t="shared" si="4"/>
        <v>0.45674999999999993</v>
      </c>
      <c r="D10" s="14">
        <f ca="1" t="shared" si="4"/>
        <v>0.4565</v>
      </c>
      <c r="E10" s="14">
        <f ca="1" t="shared" si="4"/>
        <v>0.45699999999999996</v>
      </c>
      <c r="F10" s="20">
        <f ca="1" t="shared" si="4"/>
        <v>0.4535</v>
      </c>
      <c r="H10" s="25">
        <f t="shared" si="2"/>
        <v>16.99375</v>
      </c>
      <c r="I10" s="19">
        <f ca="1">INDIRECT(ADDRESS(31+(ROW()-9)+(COLUMN()-9)*5,5,3,TRUE,"MidplaneThickness"))</f>
        <v>1.125</v>
      </c>
      <c r="J10" s="14">
        <f ca="1" t="shared" si="5"/>
        <v>1.1164999999999998</v>
      </c>
      <c r="K10" s="14">
        <f ca="1" t="shared" si="5"/>
        <v>1.119</v>
      </c>
      <c r="L10" s="14">
        <f ca="1" t="shared" si="5"/>
        <v>1.115</v>
      </c>
      <c r="M10" s="20">
        <f ca="1" t="shared" si="5"/>
        <v>1.125</v>
      </c>
    </row>
    <row r="11" spans="1:13" ht="10.5">
      <c r="A11" s="25">
        <f>AVERAGE(MidplaneThickness!B33,MidplaneThickness!B38,MidplaneThickness!B43,MidplaneThickness!B48,MidplaneThickness!B53)</f>
        <v>31.8855</v>
      </c>
      <c r="B11" s="19">
        <f ca="1">INDIRECT(ADDRESS(31+(ROW()-9)+(COLUMN()-2)*5,4,3,TRUE,"MidplaneThickness"))</f>
        <v>0.46299999999999997</v>
      </c>
      <c r="C11" s="14">
        <f ca="1" t="shared" si="4"/>
        <v>0.45449999999999996</v>
      </c>
      <c r="D11" s="14">
        <f ca="1" t="shared" si="4"/>
        <v>0.456</v>
      </c>
      <c r="E11" s="14">
        <f ca="1" t="shared" si="4"/>
        <v>0.45449999999999996</v>
      </c>
      <c r="F11" s="20">
        <f ca="1" t="shared" si="4"/>
        <v>0.4495</v>
      </c>
      <c r="H11" s="25">
        <f t="shared" si="2"/>
        <v>31.8855</v>
      </c>
      <c r="I11" s="19">
        <f ca="1">INDIRECT(ADDRESS(31+(ROW()-9)+(COLUMN()-9)*5,5,3,TRUE,"MidplaneThickness"))</f>
        <v>1.136</v>
      </c>
      <c r="J11" s="14">
        <f ca="1" t="shared" si="5"/>
        <v>1.121</v>
      </c>
      <c r="K11" s="14">
        <f ca="1" t="shared" si="5"/>
        <v>1.124</v>
      </c>
      <c r="L11" s="14">
        <f ca="1" t="shared" si="5"/>
        <v>1.121</v>
      </c>
      <c r="M11" s="20">
        <f ca="1" t="shared" si="5"/>
        <v>1.137</v>
      </c>
    </row>
    <row r="12" spans="1:13" ht="10.5">
      <c r="A12" s="25">
        <f>AVERAGE(MidplaneThickness!B34,MidplaneThickness!B39,MidplaneThickness!B44,MidplaneThickness!B49,MidplaneThickness!B54)</f>
        <v>46.285399999999996</v>
      </c>
      <c r="B12" s="19">
        <f ca="1">INDIRECT(ADDRESS(31+(ROW()-9)+(COLUMN()-2)*5,4,3,TRUE,"MidplaneThickness"))</f>
        <v>0.46399999999999997</v>
      </c>
      <c r="C12" s="14">
        <f ca="1" t="shared" si="4"/>
        <v>0.4525</v>
      </c>
      <c r="D12" s="14">
        <f ca="1" t="shared" si="4"/>
        <v>0.4525</v>
      </c>
      <c r="E12" s="14">
        <f ca="1" t="shared" si="4"/>
        <v>0.454</v>
      </c>
      <c r="F12" s="20">
        <f ca="1" t="shared" si="4"/>
        <v>0.44699999999999995</v>
      </c>
      <c r="H12" s="25">
        <f t="shared" si="2"/>
        <v>46.285399999999996</v>
      </c>
      <c r="I12" s="19">
        <f ca="1">INDIRECT(ADDRESS(31+(ROW()-9)+(COLUMN()-9)*5,5,3,TRUE,"MidplaneThickness"))</f>
        <v>1.1179999999999999</v>
      </c>
      <c r="J12" s="14">
        <f ca="1" t="shared" si="5"/>
        <v>1.099</v>
      </c>
      <c r="K12" s="14">
        <f ca="1" t="shared" si="5"/>
        <v>1.115</v>
      </c>
      <c r="L12" s="14">
        <f ca="1" t="shared" si="5"/>
        <v>1.112</v>
      </c>
      <c r="M12" s="20">
        <f ca="1" t="shared" si="5"/>
        <v>1.1239999999999999</v>
      </c>
    </row>
    <row r="13" spans="1:13" ht="10.5">
      <c r="A13" s="25">
        <f>AVERAGE(MidplaneThickness!B35,MidplaneThickness!B40,MidplaneThickness!B45,MidplaneThickness!B50,MidplaneThickness!B55)</f>
        <v>60.685300000000005</v>
      </c>
      <c r="B13" s="22">
        <f ca="1">INDIRECT(ADDRESS(31+(ROW()-9)+(COLUMN()-2)*5,4,3,TRUE,"MidplaneThickness"))</f>
        <v>0.4635</v>
      </c>
      <c r="C13" s="3">
        <f ca="1" t="shared" si="4"/>
        <v>0.4515</v>
      </c>
      <c r="D13" s="3">
        <f ca="1" t="shared" si="4"/>
        <v>0.452</v>
      </c>
      <c r="E13" s="3">
        <f ca="1" t="shared" si="4"/>
        <v>0.4565</v>
      </c>
      <c r="F13" s="23">
        <f ca="1" t="shared" si="4"/>
        <v>0.4475</v>
      </c>
      <c r="H13" s="25">
        <f t="shared" si="2"/>
        <v>60.685300000000005</v>
      </c>
      <c r="I13" s="22">
        <f ca="1">INDIRECT(ADDRESS(31+(ROW()-9)+(COLUMN()-9)*5,5,3,TRUE,"MidplaneThickness"))</f>
        <v>1.077</v>
      </c>
      <c r="J13" s="3">
        <f ca="1" t="shared" si="5"/>
        <v>1.059</v>
      </c>
      <c r="K13" s="3">
        <f ca="1" t="shared" si="5"/>
        <v>1.072</v>
      </c>
      <c r="L13" s="3">
        <f ca="1" t="shared" si="5"/>
        <v>1.073</v>
      </c>
      <c r="M13" s="23">
        <f ca="1" t="shared" si="5"/>
        <v>1.097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91" r:id="rId2"/>
  <headerFooter alignWithMargins="0">
    <oddHeader>&amp;C&amp;F</oddHeader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workbookViewId="0" topLeftCell="A40">
      <selection activeCell="A51" sqref="A51"/>
    </sheetView>
  </sheetViews>
  <sheetFormatPr defaultColWidth="9.140625" defaultRowHeight="12"/>
  <cols>
    <col min="1" max="16384" width="12.00390625" style="0" customWidth="1"/>
  </cols>
  <sheetData>
    <row r="1" spans="1:4" ht="10.5">
      <c r="A1" t="s">
        <v>388</v>
      </c>
      <c r="D1" s="14"/>
    </row>
    <row r="2" spans="1:2" ht="10.5">
      <c r="A2" t="s">
        <v>389</v>
      </c>
      <c r="B2">
        <f>MidplaneThickness!H8</f>
        <v>0.45896723902936815</v>
      </c>
    </row>
    <row r="3" spans="2:10" ht="10.5">
      <c r="B3" t="str">
        <f>LoFacingFrame!B3</f>
        <v>Lower</v>
      </c>
      <c r="D3" t="s">
        <v>390</v>
      </c>
      <c r="E3" t="str">
        <f>LoFacingFrame!E3</f>
        <v>Upper</v>
      </c>
      <c r="G3" t="s">
        <v>390</v>
      </c>
      <c r="J3" t="s">
        <v>391</v>
      </c>
    </row>
    <row r="4" spans="1:10" ht="10.5">
      <c r="A4" t="str">
        <f>LoFacingFrame!A4</f>
        <v>LeftSensor</v>
      </c>
      <c r="B4" t="str">
        <f>LoFacingFrame!B4</f>
        <v>x</v>
      </c>
      <c r="C4" t="str">
        <f>LoFacingFrame!C4</f>
        <v>y</v>
      </c>
      <c r="D4" t="str">
        <f>LoFacingFrame!D4</f>
        <v>z</v>
      </c>
      <c r="E4" t="str">
        <f>LoFacingFrame!E4</f>
        <v>x</v>
      </c>
      <c r="F4" t="str">
        <f>LoFacingFrame!F4</f>
        <v>y</v>
      </c>
      <c r="G4" t="str">
        <f>LoFacingFrame!G4</f>
        <v>z</v>
      </c>
      <c r="I4" t="s">
        <v>392</v>
      </c>
      <c r="J4">
        <f>MIN(D5:D29,D31:D55)+MidplaneThickness!H10</f>
        <v>-0.048925572362701564</v>
      </c>
    </row>
    <row r="5" spans="1:10" ht="10.5">
      <c r="A5">
        <f>LoFacingFrame!A5</f>
        <v>1</v>
      </c>
      <c r="B5">
        <f>LoFacingFrame!B5</f>
        <v>-60.999</v>
      </c>
      <c r="C5">
        <f>LoFacingFrame!C5</f>
        <v>1.2000000000000028</v>
      </c>
      <c r="D5">
        <f>LoFacingFrame!D5-ModuleFrame!$B$2</f>
        <v>-0.5949672390293681</v>
      </c>
      <c r="E5">
        <f>LoFacingFrame!E5</f>
        <v>-60.998</v>
      </c>
      <c r="F5">
        <f>LoFacingFrame!F5</f>
        <v>-62.799</v>
      </c>
      <c r="G5">
        <f>LoFacingFrame!G5-ModuleFrame!$B$2</f>
        <v>0.4680327609706319</v>
      </c>
      <c r="I5" t="s">
        <v>393</v>
      </c>
      <c r="J5">
        <f>MAX(G5:G29,G31:G55)-MidplaneThickness!H10</f>
        <v>0.012991094303965167</v>
      </c>
    </row>
    <row r="6" spans="1:7" ht="10.5">
      <c r="A6">
        <f>LoFacingFrame!A6</f>
        <v>2</v>
      </c>
      <c r="B6">
        <f>LoFacingFrame!B6</f>
        <v>-46.6</v>
      </c>
      <c r="C6">
        <f>LoFacingFrame!C6</f>
        <v>1.2000000000000028</v>
      </c>
      <c r="D6">
        <f>LoFacingFrame!D6-ModuleFrame!$B$2</f>
        <v>-0.6069672390293681</v>
      </c>
      <c r="E6">
        <f>LoFacingFrame!E6</f>
        <v>-46.598</v>
      </c>
      <c r="F6">
        <f>LoFacingFrame!F6</f>
        <v>-62.8</v>
      </c>
      <c r="G6">
        <f>LoFacingFrame!G6-ModuleFrame!$B$2</f>
        <v>0.5120327609706319</v>
      </c>
    </row>
    <row r="7" spans="1:7" ht="10.5">
      <c r="A7">
        <f>LoFacingFrame!A7</f>
        <v>3</v>
      </c>
      <c r="B7">
        <f>LoFacingFrame!B7</f>
        <v>-32.2</v>
      </c>
      <c r="C7">
        <f>LoFacingFrame!C7</f>
        <v>1.2000000000000028</v>
      </c>
      <c r="D7">
        <f>LoFacingFrame!D7-ModuleFrame!$B$2</f>
        <v>-0.6049672390293681</v>
      </c>
      <c r="E7">
        <f>LoFacingFrame!E7</f>
        <v>-32.198</v>
      </c>
      <c r="F7">
        <f>LoFacingFrame!F7</f>
        <v>-62.8</v>
      </c>
      <c r="G7">
        <f>LoFacingFrame!G7-ModuleFrame!$B$2</f>
        <v>0.5420327609706317</v>
      </c>
    </row>
    <row r="8" spans="1:7" ht="10.5">
      <c r="A8">
        <f>LoFacingFrame!A8</f>
        <v>4</v>
      </c>
      <c r="B8">
        <f>LoFacingFrame!B8</f>
        <v>-17.799999999999997</v>
      </c>
      <c r="C8">
        <f>LoFacingFrame!C8</f>
        <v>1.2000000000000028</v>
      </c>
      <c r="D8">
        <f>LoFacingFrame!D8-ModuleFrame!$B$2</f>
        <v>-0.5939672390293682</v>
      </c>
      <c r="E8">
        <f>LoFacingFrame!E8</f>
        <v>-17.798000000000002</v>
      </c>
      <c r="F8">
        <f>LoFacingFrame!F8</f>
        <v>-62.799</v>
      </c>
      <c r="G8">
        <f>LoFacingFrame!G8-ModuleFrame!$B$2</f>
        <v>0.5580327609706317</v>
      </c>
    </row>
    <row r="9" spans="1:7" ht="10.5">
      <c r="A9">
        <f>LoFacingFrame!A9</f>
        <v>5</v>
      </c>
      <c r="B9">
        <f>LoFacingFrame!B9</f>
        <v>-3.399000000000001</v>
      </c>
      <c r="C9">
        <f>LoFacingFrame!C9</f>
        <v>1.2000000000000028</v>
      </c>
      <c r="D9">
        <f>LoFacingFrame!D9-ModuleFrame!$B$2</f>
        <v>-0.5739672390293682</v>
      </c>
      <c r="E9">
        <f>LoFacingFrame!E9</f>
        <v>-3.3980000000000032</v>
      </c>
      <c r="F9">
        <f>LoFacingFrame!F9</f>
        <v>-62.8</v>
      </c>
      <c r="G9">
        <f>LoFacingFrame!G9-ModuleFrame!$B$2</f>
        <v>0.5640327609706317</v>
      </c>
    </row>
    <row r="10" spans="1:7" ht="10.5">
      <c r="A10">
        <f>LoFacingFrame!A10</f>
        <v>6</v>
      </c>
      <c r="B10">
        <f>LoFacingFrame!B10</f>
        <v>-60.999</v>
      </c>
      <c r="C10">
        <f>LoFacingFrame!C10</f>
        <v>16.6</v>
      </c>
      <c r="D10">
        <f>LoFacingFrame!D10-ModuleFrame!$B$2</f>
        <v>-0.5869672390293681</v>
      </c>
      <c r="E10">
        <f>LoFacingFrame!E10</f>
        <v>-60.998</v>
      </c>
      <c r="F10">
        <f>LoFacingFrame!F10</f>
        <v>-47.4</v>
      </c>
      <c r="G10">
        <f>LoFacingFrame!G10-ModuleFrame!$B$2</f>
        <v>0.4490327609706319</v>
      </c>
    </row>
    <row r="11" spans="1:7" ht="10.5">
      <c r="A11">
        <f>LoFacingFrame!A11</f>
        <v>7</v>
      </c>
      <c r="B11">
        <f>LoFacingFrame!B11</f>
        <v>-46.599000000000004</v>
      </c>
      <c r="C11">
        <f>LoFacingFrame!C11</f>
        <v>16.6</v>
      </c>
      <c r="D11">
        <f>LoFacingFrame!D11-ModuleFrame!$B$2</f>
        <v>-0.5949672390293681</v>
      </c>
      <c r="E11">
        <f>LoFacingFrame!E11</f>
        <v>-46.598</v>
      </c>
      <c r="F11">
        <f>LoFacingFrame!F11</f>
        <v>-47.4</v>
      </c>
      <c r="G11">
        <f>LoFacingFrame!G11-ModuleFrame!$B$2</f>
        <v>0.4970327609706318</v>
      </c>
    </row>
    <row r="12" spans="1:7" ht="10.5">
      <c r="A12">
        <f>LoFacingFrame!A12</f>
        <v>8</v>
      </c>
      <c r="B12">
        <f>LoFacingFrame!B12</f>
        <v>-32.2</v>
      </c>
      <c r="C12">
        <f>LoFacingFrame!C12</f>
        <v>16.6</v>
      </c>
      <c r="D12">
        <f>LoFacingFrame!D12-ModuleFrame!$B$2</f>
        <v>-0.5959672390293682</v>
      </c>
      <c r="E12">
        <f>LoFacingFrame!E12</f>
        <v>-32.198</v>
      </c>
      <c r="F12">
        <f>LoFacingFrame!F12</f>
        <v>-47.4</v>
      </c>
      <c r="G12">
        <f>LoFacingFrame!G12-ModuleFrame!$B$2</f>
        <v>0.5250327609706318</v>
      </c>
    </row>
    <row r="13" spans="1:7" ht="10.5">
      <c r="A13">
        <f>LoFacingFrame!A13</f>
        <v>9</v>
      </c>
      <c r="B13">
        <f>LoFacingFrame!B13</f>
        <v>-17.799999999999997</v>
      </c>
      <c r="C13">
        <f>LoFacingFrame!C13</f>
        <v>16.6</v>
      </c>
      <c r="D13">
        <f>LoFacingFrame!D13-ModuleFrame!$B$2</f>
        <v>-0.5799672390293682</v>
      </c>
      <c r="E13">
        <f>LoFacingFrame!E13</f>
        <v>-17.798000000000002</v>
      </c>
      <c r="F13">
        <f>LoFacingFrame!F13</f>
        <v>-47.4</v>
      </c>
      <c r="G13">
        <f>LoFacingFrame!G13-ModuleFrame!$B$2</f>
        <v>0.5400327609706319</v>
      </c>
    </row>
    <row r="14" spans="1:7" ht="10.5">
      <c r="A14">
        <f>LoFacingFrame!A14</f>
        <v>10</v>
      </c>
      <c r="B14">
        <f>LoFacingFrame!B14</f>
        <v>-3.399000000000001</v>
      </c>
      <c r="C14">
        <f>LoFacingFrame!C14</f>
        <v>16.6</v>
      </c>
      <c r="D14">
        <f>LoFacingFrame!D14-ModuleFrame!$B$2</f>
        <v>-0.5609672390293682</v>
      </c>
      <c r="E14">
        <f>LoFacingFrame!E14</f>
        <v>-3.3980000000000032</v>
      </c>
      <c r="F14">
        <f>LoFacingFrame!F14</f>
        <v>-47.4</v>
      </c>
      <c r="G14">
        <f>LoFacingFrame!G14-ModuleFrame!$B$2</f>
        <v>0.5490327609706318</v>
      </c>
    </row>
    <row r="15" spans="1:7" ht="10.5">
      <c r="A15">
        <f>LoFacingFrame!A15</f>
        <v>11</v>
      </c>
      <c r="B15">
        <f>LoFacingFrame!B15</f>
        <v>-61</v>
      </c>
      <c r="C15">
        <f>LoFacingFrame!C15</f>
        <v>32</v>
      </c>
      <c r="D15">
        <f>LoFacingFrame!D15-ModuleFrame!$B$2</f>
        <v>-0.5919672390293682</v>
      </c>
      <c r="E15">
        <f>LoFacingFrame!E15</f>
        <v>-60.998</v>
      </c>
      <c r="F15">
        <f>LoFacingFrame!F15</f>
        <v>-31.999</v>
      </c>
      <c r="G15">
        <f>LoFacingFrame!G15-ModuleFrame!$B$2</f>
        <v>0.4570327609706319</v>
      </c>
    </row>
    <row r="16" spans="1:7" ht="10.5">
      <c r="A16">
        <f>LoFacingFrame!A16</f>
        <v>12</v>
      </c>
      <c r="B16">
        <f>LoFacingFrame!B16</f>
        <v>-46.599000000000004</v>
      </c>
      <c r="C16">
        <f>LoFacingFrame!C16</f>
        <v>32</v>
      </c>
      <c r="D16">
        <f>LoFacingFrame!D16-ModuleFrame!$B$2</f>
        <v>-0.5999672390293681</v>
      </c>
      <c r="E16">
        <f>LoFacingFrame!E16</f>
        <v>-46.598</v>
      </c>
      <c r="F16">
        <f>LoFacingFrame!F16</f>
        <v>-32</v>
      </c>
      <c r="G16">
        <f>LoFacingFrame!G16-ModuleFrame!$B$2</f>
        <v>0.4970327609706318</v>
      </c>
    </row>
    <row r="17" spans="1:7" ht="10.5">
      <c r="A17">
        <f>LoFacingFrame!A17</f>
        <v>13</v>
      </c>
      <c r="B17">
        <f>LoFacingFrame!B17</f>
        <v>-32.2</v>
      </c>
      <c r="C17">
        <f>LoFacingFrame!C17</f>
        <v>32</v>
      </c>
      <c r="D17">
        <f>LoFacingFrame!D17-ModuleFrame!$B$2</f>
        <v>-0.5929672390293681</v>
      </c>
      <c r="E17">
        <f>LoFacingFrame!E17</f>
        <v>-32.198</v>
      </c>
      <c r="F17">
        <f>LoFacingFrame!F17</f>
        <v>-32</v>
      </c>
      <c r="G17">
        <f>LoFacingFrame!G17-ModuleFrame!$B$2</f>
        <v>0.5270327609706318</v>
      </c>
    </row>
    <row r="18" spans="1:7" ht="10.5">
      <c r="A18">
        <f>LoFacingFrame!A18</f>
        <v>14</v>
      </c>
      <c r="B18">
        <f>LoFacingFrame!B18</f>
        <v>-17.799999999999997</v>
      </c>
      <c r="C18">
        <f>LoFacingFrame!C18</f>
        <v>32</v>
      </c>
      <c r="D18">
        <f>LoFacingFrame!D18-ModuleFrame!$B$2</f>
        <v>-0.5819672390293682</v>
      </c>
      <c r="E18">
        <f>LoFacingFrame!E18</f>
        <v>-17.798000000000002</v>
      </c>
      <c r="F18">
        <f>LoFacingFrame!F18</f>
        <v>-31.999</v>
      </c>
      <c r="G18">
        <f>LoFacingFrame!G18-ModuleFrame!$B$2</f>
        <v>0.5470327609706318</v>
      </c>
    </row>
    <row r="19" spans="1:7" ht="10.5">
      <c r="A19">
        <f>LoFacingFrame!A19</f>
        <v>15</v>
      </c>
      <c r="B19">
        <f>LoFacingFrame!B19</f>
        <v>-3.3999999999999986</v>
      </c>
      <c r="C19">
        <f>LoFacingFrame!C19</f>
        <v>31.999</v>
      </c>
      <c r="D19">
        <f>LoFacingFrame!D19-ModuleFrame!$B$2</f>
        <v>-0.5619672390293682</v>
      </c>
      <c r="E19">
        <f>LoFacingFrame!E19</f>
        <v>-3.3980000000000032</v>
      </c>
      <c r="F19">
        <f>LoFacingFrame!F19</f>
        <v>-32</v>
      </c>
      <c r="G19">
        <f>LoFacingFrame!G19-ModuleFrame!$B$2</f>
        <v>0.5540327609706317</v>
      </c>
    </row>
    <row r="20" spans="1:7" ht="10.5">
      <c r="A20">
        <f>LoFacingFrame!A20</f>
        <v>16</v>
      </c>
      <c r="B20">
        <f>LoFacingFrame!B20</f>
        <v>-61</v>
      </c>
      <c r="C20">
        <f>LoFacingFrame!C20</f>
        <v>47.4</v>
      </c>
      <c r="D20">
        <f>LoFacingFrame!D20-ModuleFrame!$B$2</f>
        <v>-0.5889672390293681</v>
      </c>
      <c r="E20">
        <f>LoFacingFrame!E20</f>
        <v>-60.998</v>
      </c>
      <c r="F20">
        <f>LoFacingFrame!F20</f>
        <v>-16.6</v>
      </c>
      <c r="G20">
        <f>LoFacingFrame!G20-ModuleFrame!$B$2</f>
        <v>0.4600327609706319</v>
      </c>
    </row>
    <row r="21" spans="1:7" ht="10.5">
      <c r="A21">
        <f>LoFacingFrame!A21</f>
        <v>17</v>
      </c>
      <c r="B21">
        <f>LoFacingFrame!B21</f>
        <v>-46.599000000000004</v>
      </c>
      <c r="C21">
        <f>LoFacingFrame!C21</f>
        <v>47.4</v>
      </c>
      <c r="D21">
        <f>LoFacingFrame!D21-ModuleFrame!$B$2</f>
        <v>-0.5989672390293681</v>
      </c>
      <c r="E21">
        <f>LoFacingFrame!E21</f>
        <v>-46.598</v>
      </c>
      <c r="F21">
        <f>LoFacingFrame!F21</f>
        <v>-16.6</v>
      </c>
      <c r="G21">
        <f>LoFacingFrame!G21-ModuleFrame!$B$2</f>
        <v>0.4980327609706318</v>
      </c>
    </row>
    <row r="22" spans="1:7" ht="10.5">
      <c r="A22">
        <f>LoFacingFrame!A22</f>
        <v>18</v>
      </c>
      <c r="B22">
        <f>LoFacingFrame!B22</f>
        <v>-32.2</v>
      </c>
      <c r="C22">
        <f>LoFacingFrame!C22</f>
        <v>47.4</v>
      </c>
      <c r="D22">
        <f>LoFacingFrame!D22-ModuleFrame!$B$2</f>
        <v>-0.5899672390293682</v>
      </c>
      <c r="E22">
        <f>LoFacingFrame!E22</f>
        <v>-32.198</v>
      </c>
      <c r="F22">
        <f>LoFacingFrame!F22</f>
        <v>-16.6</v>
      </c>
      <c r="G22">
        <f>LoFacingFrame!G22-ModuleFrame!$B$2</f>
        <v>0.5250327609706318</v>
      </c>
    </row>
    <row r="23" spans="1:7" ht="10.5">
      <c r="A23">
        <f>LoFacingFrame!A23</f>
        <v>19</v>
      </c>
      <c r="B23">
        <f>LoFacingFrame!B23</f>
        <v>-17.799999999999997</v>
      </c>
      <c r="C23">
        <f>LoFacingFrame!C23</f>
        <v>47.4</v>
      </c>
      <c r="D23">
        <f>LoFacingFrame!D23-ModuleFrame!$B$2</f>
        <v>-0.5759672390293682</v>
      </c>
      <c r="E23">
        <f>LoFacingFrame!E23</f>
        <v>-17.798000000000002</v>
      </c>
      <c r="F23">
        <f>LoFacingFrame!F23</f>
        <v>-16.6</v>
      </c>
      <c r="G23">
        <f>LoFacingFrame!G23-ModuleFrame!$B$2</f>
        <v>0.5470327609706318</v>
      </c>
    </row>
    <row r="24" spans="1:7" ht="10.5">
      <c r="A24">
        <f>LoFacingFrame!A24</f>
        <v>20</v>
      </c>
      <c r="B24">
        <f>LoFacingFrame!B24</f>
        <v>-3.3999999999999986</v>
      </c>
      <c r="C24">
        <f>LoFacingFrame!C24</f>
        <v>47.4</v>
      </c>
      <c r="D24">
        <f>LoFacingFrame!D24-ModuleFrame!$B$2</f>
        <v>-0.5679672390293682</v>
      </c>
      <c r="E24">
        <f>LoFacingFrame!E24</f>
        <v>-3.3980000000000032</v>
      </c>
      <c r="F24">
        <f>LoFacingFrame!F24</f>
        <v>-16.6</v>
      </c>
      <c r="G24">
        <f>LoFacingFrame!G24-ModuleFrame!$B$2</f>
        <v>0.5520327609706317</v>
      </c>
    </row>
    <row r="25" spans="1:7" ht="10.5">
      <c r="A25">
        <f>LoFacingFrame!A25</f>
        <v>21</v>
      </c>
      <c r="B25">
        <f>LoFacingFrame!B25</f>
        <v>-60.999</v>
      </c>
      <c r="C25">
        <f>LoFacingFrame!C25</f>
        <v>62.799</v>
      </c>
      <c r="D25">
        <f>LoFacingFrame!D25-ModuleFrame!$B$2</f>
        <v>-0.6009672390293681</v>
      </c>
      <c r="E25">
        <f>LoFacingFrame!E25</f>
        <v>-60.998</v>
      </c>
      <c r="F25">
        <f>LoFacingFrame!F25</f>
        <v>-1.2000000000000028</v>
      </c>
      <c r="G25">
        <f>LoFacingFrame!G25-ModuleFrame!$B$2</f>
        <v>0.4560327609706319</v>
      </c>
    </row>
    <row r="26" spans="1:7" ht="10.5">
      <c r="A26">
        <f>LoFacingFrame!A26</f>
        <v>22</v>
      </c>
      <c r="B26">
        <f>LoFacingFrame!B26</f>
        <v>-46.6</v>
      </c>
      <c r="C26">
        <f>LoFacingFrame!C26</f>
        <v>62.8</v>
      </c>
      <c r="D26">
        <f>LoFacingFrame!D26-ModuleFrame!$B$2</f>
        <v>-0.6079672390293681</v>
      </c>
      <c r="E26">
        <f>LoFacingFrame!E26</f>
        <v>-46.598</v>
      </c>
      <c r="F26">
        <f>LoFacingFrame!F26</f>
        <v>-1.2000000000000028</v>
      </c>
      <c r="G26">
        <f>LoFacingFrame!G26-ModuleFrame!$B$2</f>
        <v>0.5010327609706318</v>
      </c>
    </row>
    <row r="27" spans="1:7" ht="10.5">
      <c r="A27">
        <f>LoFacingFrame!A27</f>
        <v>23</v>
      </c>
      <c r="B27">
        <f>LoFacingFrame!B27</f>
        <v>-32.199</v>
      </c>
      <c r="C27">
        <f>LoFacingFrame!C27</f>
        <v>62.8</v>
      </c>
      <c r="D27">
        <f>LoFacingFrame!D27-ModuleFrame!$B$2</f>
        <v>-0.6009672390293681</v>
      </c>
      <c r="E27">
        <f>LoFacingFrame!E27</f>
        <v>-32.198</v>
      </c>
      <c r="F27">
        <f>LoFacingFrame!F27</f>
        <v>-1.198999999999998</v>
      </c>
      <c r="G27">
        <f>LoFacingFrame!G27-ModuleFrame!$B$2</f>
        <v>0.5280327609706319</v>
      </c>
    </row>
    <row r="28" spans="1:7" ht="10.5">
      <c r="A28">
        <f>LoFacingFrame!A28</f>
        <v>24</v>
      </c>
      <c r="B28">
        <f>LoFacingFrame!B28</f>
        <v>-17.799</v>
      </c>
      <c r="C28">
        <f>LoFacingFrame!C28</f>
        <v>62.8</v>
      </c>
      <c r="D28">
        <f>LoFacingFrame!D28-ModuleFrame!$B$2</f>
        <v>-0.5839672390293682</v>
      </c>
      <c r="E28">
        <f>LoFacingFrame!E28</f>
        <v>-17.798000000000002</v>
      </c>
      <c r="F28">
        <f>LoFacingFrame!F28</f>
        <v>-1.2000000000000028</v>
      </c>
      <c r="G28">
        <f>LoFacingFrame!G28-ModuleFrame!$B$2</f>
        <v>0.5480327609706317</v>
      </c>
    </row>
    <row r="29" spans="1:7" ht="10.5">
      <c r="A29">
        <f>LoFacingFrame!A29</f>
        <v>25</v>
      </c>
      <c r="B29">
        <f>LoFacingFrame!B29</f>
        <v>-3.399000000000001</v>
      </c>
      <c r="C29">
        <f>LoFacingFrame!C29</f>
        <v>62.8</v>
      </c>
      <c r="D29">
        <f>LoFacingFrame!D29-ModuleFrame!$B$2</f>
        <v>-0.5669672390293682</v>
      </c>
      <c r="E29">
        <f>LoFacingFrame!E29</f>
        <v>-3.3980000000000032</v>
      </c>
      <c r="F29">
        <f>LoFacingFrame!F29</f>
        <v>-1.2000000000000028</v>
      </c>
      <c r="G29">
        <f>LoFacingFrame!G29-ModuleFrame!$B$2</f>
        <v>0.5620327609706317</v>
      </c>
    </row>
    <row r="30" spans="1:7" ht="10.5">
      <c r="A30" t="str">
        <f>LoFacingFrame!A30</f>
        <v>RightSensor</v>
      </c>
      <c r="B30" t="str">
        <f>LoFacingFrame!B30</f>
        <v>x</v>
      </c>
      <c r="C30" t="str">
        <f>LoFacingFrame!C30</f>
        <v>y</v>
      </c>
      <c r="D30" t="str">
        <f>LoFacingFrame!D30</f>
        <v>z</v>
      </c>
      <c r="E30" t="str">
        <f>LoFacingFrame!E30</f>
        <v>x</v>
      </c>
      <c r="F30" t="str">
        <f>LoFacingFrame!F30</f>
        <v>y</v>
      </c>
      <c r="G30" t="str">
        <f>LoFacingFrame!G30</f>
        <v>z</v>
      </c>
    </row>
    <row r="31" spans="1:7" ht="10.5">
      <c r="A31">
        <f>LoFacingFrame!A31</f>
        <v>1</v>
      </c>
      <c r="B31">
        <f>LoFacingFrame!B31</f>
        <v>2.0859999999999985</v>
      </c>
      <c r="C31">
        <f>LoFacingFrame!C31</f>
        <v>1.2000000000000028</v>
      </c>
      <c r="D31">
        <f>LoFacingFrame!D31-ModuleFrame!$B$2</f>
        <v>-0.5549672390293682</v>
      </c>
      <c r="E31">
        <f>LoFacingFrame!E31</f>
        <v>2.117999999999995</v>
      </c>
      <c r="F31">
        <f>LoFacingFrame!F31</f>
        <v>-62.799</v>
      </c>
      <c r="G31">
        <f>LoFacingFrame!G31-ModuleFrame!$B$2</f>
        <v>0.5590327609706318</v>
      </c>
    </row>
    <row r="32" spans="1:7" ht="10.5">
      <c r="A32">
        <f>LoFacingFrame!A32</f>
        <v>2</v>
      </c>
      <c r="B32">
        <f>LoFacingFrame!B32</f>
        <v>16.9825</v>
      </c>
      <c r="C32">
        <f>LoFacingFrame!C32</f>
        <v>1.2000000000000028</v>
      </c>
      <c r="D32">
        <f>LoFacingFrame!D32-ModuleFrame!$B$2</f>
        <v>-0.5594672390293681</v>
      </c>
      <c r="E32">
        <f>LoFacingFrame!E32</f>
        <v>17.004999999999995</v>
      </c>
      <c r="F32">
        <f>LoFacingFrame!F32</f>
        <v>-62.798500000000004</v>
      </c>
      <c r="G32">
        <f>LoFacingFrame!G32-ModuleFrame!$B$2</f>
        <v>0.5655327609706318</v>
      </c>
    </row>
    <row r="33" spans="1:7" ht="10.5">
      <c r="A33">
        <f>LoFacingFrame!A33</f>
        <v>3</v>
      </c>
      <c r="B33">
        <f>LoFacingFrame!B33</f>
        <v>31.879000000000005</v>
      </c>
      <c r="C33">
        <f>LoFacingFrame!C33</f>
        <v>1.2000000000000028</v>
      </c>
      <c r="D33">
        <f>LoFacingFrame!D33-ModuleFrame!$B$2</f>
        <v>-0.5639672390293682</v>
      </c>
      <c r="E33">
        <f>LoFacingFrame!E33</f>
        <v>31.891999999999996</v>
      </c>
      <c r="F33">
        <f>LoFacingFrame!F33</f>
        <v>-62.798</v>
      </c>
      <c r="G33">
        <f>LoFacingFrame!G33-ModuleFrame!$B$2</f>
        <v>0.5720327609706317</v>
      </c>
    </row>
    <row r="34" spans="1:7" ht="10.5">
      <c r="A34">
        <f>LoFacingFrame!A34</f>
        <v>4</v>
      </c>
      <c r="B34">
        <f>LoFacingFrame!B34</f>
        <v>46.278999999999996</v>
      </c>
      <c r="C34">
        <f>LoFacingFrame!C34</f>
        <v>1.2000000000000028</v>
      </c>
      <c r="D34">
        <f>LoFacingFrame!D34-ModuleFrame!$B$2</f>
        <v>-0.5539672390293682</v>
      </c>
      <c r="E34">
        <f>LoFacingFrame!E34</f>
        <v>46.292</v>
      </c>
      <c r="F34">
        <f>LoFacingFrame!F34</f>
        <v>-62.798</v>
      </c>
      <c r="G34">
        <f>LoFacingFrame!G34-ModuleFrame!$B$2</f>
        <v>0.5640327609706317</v>
      </c>
    </row>
    <row r="35" spans="1:7" ht="10.5">
      <c r="A35">
        <f>LoFacingFrame!A35</f>
        <v>5</v>
      </c>
      <c r="B35">
        <f>LoFacingFrame!B35</f>
        <v>60.679</v>
      </c>
      <c r="C35">
        <f>LoFacingFrame!C35</f>
        <v>1.2000000000000028</v>
      </c>
      <c r="D35">
        <f>LoFacingFrame!D35-ModuleFrame!$B$2</f>
        <v>-0.5339672390293682</v>
      </c>
      <c r="E35">
        <f>LoFacingFrame!E35</f>
        <v>60.69199999999999</v>
      </c>
      <c r="F35">
        <f>LoFacingFrame!F35</f>
        <v>-62.798</v>
      </c>
      <c r="G35">
        <f>LoFacingFrame!G35-ModuleFrame!$B$2</f>
        <v>0.5430327609706318</v>
      </c>
    </row>
    <row r="36" spans="1:7" ht="10.5">
      <c r="A36">
        <f>LoFacingFrame!A36</f>
        <v>6</v>
      </c>
      <c r="B36">
        <f>LoFacingFrame!B36</f>
        <v>2.0859999999999985</v>
      </c>
      <c r="C36">
        <f>LoFacingFrame!C36</f>
        <v>16.6</v>
      </c>
      <c r="D36">
        <f>LoFacingFrame!D36-ModuleFrame!$B$2</f>
        <v>-0.5559672390293682</v>
      </c>
      <c r="E36">
        <f>LoFacingFrame!E36</f>
        <v>2.117999999999995</v>
      </c>
      <c r="F36">
        <f>LoFacingFrame!F36</f>
        <v>-47.399</v>
      </c>
      <c r="G36">
        <f>LoFacingFrame!G36-ModuleFrame!$B$2</f>
        <v>0.5560327609706317</v>
      </c>
    </row>
    <row r="37" spans="1:7" ht="10.5">
      <c r="A37">
        <f>LoFacingFrame!A37</f>
        <v>7</v>
      </c>
      <c r="B37">
        <f>LoFacingFrame!B37</f>
        <v>16.9825</v>
      </c>
      <c r="C37">
        <f>LoFacingFrame!C37</f>
        <v>16.5995</v>
      </c>
      <c r="D37">
        <f>LoFacingFrame!D37-ModuleFrame!$B$2</f>
        <v>-0.5604672390293681</v>
      </c>
      <c r="E37">
        <f>LoFacingFrame!E37</f>
        <v>17.004999999999995</v>
      </c>
      <c r="F37">
        <f>LoFacingFrame!F37</f>
        <v>-47.3985</v>
      </c>
      <c r="G37">
        <f>LoFacingFrame!G37-ModuleFrame!$B$2</f>
        <v>0.5560327609706317</v>
      </c>
    </row>
    <row r="38" spans="1:7" ht="10.5">
      <c r="A38">
        <f>LoFacingFrame!A38</f>
        <v>8</v>
      </c>
      <c r="B38">
        <f>LoFacingFrame!B38</f>
        <v>31.879000000000005</v>
      </c>
      <c r="C38">
        <f>LoFacingFrame!C38</f>
        <v>16.598999999999997</v>
      </c>
      <c r="D38">
        <f>LoFacingFrame!D38-ModuleFrame!$B$2</f>
        <v>-0.5649672390293682</v>
      </c>
      <c r="E38">
        <f>LoFacingFrame!E38</f>
        <v>31.891999999999996</v>
      </c>
      <c r="F38">
        <f>LoFacingFrame!F38</f>
        <v>-47.397999999999996</v>
      </c>
      <c r="G38">
        <f>LoFacingFrame!G38-ModuleFrame!$B$2</f>
        <v>0.5560327609706317</v>
      </c>
    </row>
    <row r="39" spans="1:7" ht="10.5">
      <c r="A39">
        <f>LoFacingFrame!A39</f>
        <v>9</v>
      </c>
      <c r="B39">
        <f>LoFacingFrame!B39</f>
        <v>46.278999999999996</v>
      </c>
      <c r="C39">
        <f>LoFacingFrame!C39</f>
        <v>16.6</v>
      </c>
      <c r="D39">
        <f>LoFacingFrame!D39-ModuleFrame!$B$2</f>
        <v>-0.5559672390293682</v>
      </c>
      <c r="E39">
        <f>LoFacingFrame!E39</f>
        <v>46.292</v>
      </c>
      <c r="F39">
        <f>LoFacingFrame!F39</f>
        <v>-47.397999999999996</v>
      </c>
      <c r="G39">
        <f>LoFacingFrame!G39-ModuleFrame!$B$2</f>
        <v>0.5430327609706318</v>
      </c>
    </row>
    <row r="40" spans="1:7" ht="10.5">
      <c r="A40">
        <f>LoFacingFrame!A40</f>
        <v>10</v>
      </c>
      <c r="B40">
        <f>LoFacingFrame!B40</f>
        <v>60.679</v>
      </c>
      <c r="C40">
        <f>LoFacingFrame!C40</f>
        <v>16.6</v>
      </c>
      <c r="D40">
        <f>LoFacingFrame!D40-ModuleFrame!$B$2</f>
        <v>-0.5369672390293682</v>
      </c>
      <c r="E40">
        <f>LoFacingFrame!E40</f>
        <v>60.69199999999999</v>
      </c>
      <c r="F40">
        <f>LoFacingFrame!F40</f>
        <v>-47.397999999999996</v>
      </c>
      <c r="G40">
        <f>LoFacingFrame!G40-ModuleFrame!$B$2</f>
        <v>0.5220327609706319</v>
      </c>
    </row>
    <row r="41" spans="1:7" ht="10.5">
      <c r="A41">
        <f>LoFacingFrame!A41</f>
        <v>11</v>
      </c>
      <c r="B41">
        <f>LoFacingFrame!B41</f>
        <v>2.0859999999999985</v>
      </c>
      <c r="C41">
        <f>LoFacingFrame!C41</f>
        <v>32</v>
      </c>
      <c r="D41">
        <f>LoFacingFrame!D41-ModuleFrame!$B$2</f>
        <v>-0.5589672390293682</v>
      </c>
      <c r="E41">
        <f>LoFacingFrame!E41</f>
        <v>2.117999999999995</v>
      </c>
      <c r="F41">
        <f>LoFacingFrame!F41</f>
        <v>-31.999</v>
      </c>
      <c r="G41">
        <f>LoFacingFrame!G41-ModuleFrame!$B$2</f>
        <v>0.5550327609706318</v>
      </c>
    </row>
    <row r="42" spans="1:7" ht="10.5">
      <c r="A42">
        <f>LoFacingFrame!A42</f>
        <v>12</v>
      </c>
      <c r="B42">
        <f>LoFacingFrame!B42</f>
        <v>16.9825</v>
      </c>
      <c r="C42">
        <f>LoFacingFrame!C42</f>
        <v>32</v>
      </c>
      <c r="D42">
        <f>LoFacingFrame!D42-ModuleFrame!$B$2</f>
        <v>-0.5619672390293682</v>
      </c>
      <c r="E42">
        <f>LoFacingFrame!E42</f>
        <v>17.004999999999995</v>
      </c>
      <c r="F42">
        <f>LoFacingFrame!F42</f>
        <v>-31.9985</v>
      </c>
      <c r="G42">
        <f>LoFacingFrame!G42-ModuleFrame!$B$2</f>
        <v>0.5570327609706318</v>
      </c>
    </row>
    <row r="43" spans="1:7" ht="10.5">
      <c r="A43">
        <f>LoFacingFrame!A43</f>
        <v>13</v>
      </c>
      <c r="B43">
        <f>LoFacingFrame!B43</f>
        <v>31.879000000000005</v>
      </c>
      <c r="C43">
        <f>LoFacingFrame!C43</f>
        <v>32</v>
      </c>
      <c r="D43">
        <f>LoFacingFrame!D43-ModuleFrame!$B$2</f>
        <v>-0.5649672390293682</v>
      </c>
      <c r="E43">
        <f>LoFacingFrame!E43</f>
        <v>31.891999999999996</v>
      </c>
      <c r="F43">
        <f>LoFacingFrame!F43</f>
        <v>-31.998</v>
      </c>
      <c r="G43">
        <f>LoFacingFrame!G43-ModuleFrame!$B$2</f>
        <v>0.5590327609706318</v>
      </c>
    </row>
    <row r="44" spans="1:7" ht="10.5">
      <c r="A44">
        <f>LoFacingFrame!A44</f>
        <v>14</v>
      </c>
      <c r="B44">
        <f>LoFacingFrame!B44</f>
        <v>46.278999999999996</v>
      </c>
      <c r="C44">
        <f>LoFacingFrame!C44</f>
        <v>32</v>
      </c>
      <c r="D44">
        <f>LoFacingFrame!D44-ModuleFrame!$B$2</f>
        <v>-0.5639672390293682</v>
      </c>
      <c r="E44">
        <f>LoFacingFrame!E44</f>
        <v>46.292</v>
      </c>
      <c r="F44">
        <f>LoFacingFrame!F44</f>
        <v>-31.998</v>
      </c>
      <c r="G44">
        <f>LoFacingFrame!G44-ModuleFrame!$B$2</f>
        <v>0.5510327609706318</v>
      </c>
    </row>
    <row r="45" spans="1:7" ht="10.5">
      <c r="A45">
        <f>LoFacingFrame!A45</f>
        <v>15</v>
      </c>
      <c r="B45">
        <f>LoFacingFrame!B45</f>
        <v>60.679</v>
      </c>
      <c r="C45">
        <f>LoFacingFrame!C45</f>
        <v>32</v>
      </c>
      <c r="D45">
        <f>LoFacingFrame!D45-ModuleFrame!$B$2</f>
        <v>-0.5429672390293682</v>
      </c>
      <c r="E45">
        <f>LoFacingFrame!E45</f>
        <v>60.69199999999999</v>
      </c>
      <c r="F45">
        <f>LoFacingFrame!F45</f>
        <v>-31.998</v>
      </c>
      <c r="G45">
        <f>LoFacingFrame!G45-ModuleFrame!$B$2</f>
        <v>0.5290327609706318</v>
      </c>
    </row>
    <row r="46" spans="1:7" ht="10.5">
      <c r="A46">
        <f>LoFacingFrame!A46</f>
        <v>16</v>
      </c>
      <c r="B46">
        <f>LoFacingFrame!B46</f>
        <v>2.0859999999999985</v>
      </c>
      <c r="C46">
        <f>LoFacingFrame!C46</f>
        <v>47.4</v>
      </c>
      <c r="D46">
        <f>LoFacingFrame!D46-ModuleFrame!$B$2</f>
        <v>-0.5539672390293682</v>
      </c>
      <c r="E46">
        <f>LoFacingFrame!E46</f>
        <v>2.117999999999995</v>
      </c>
      <c r="F46">
        <f>LoFacingFrame!F46</f>
        <v>-16.598999999999997</v>
      </c>
      <c r="G46">
        <f>LoFacingFrame!G46-ModuleFrame!$B$2</f>
        <v>0.5550327609706318</v>
      </c>
    </row>
    <row r="47" spans="1:7" ht="10.5">
      <c r="A47">
        <f>LoFacingFrame!A47</f>
        <v>17</v>
      </c>
      <c r="B47">
        <f>LoFacingFrame!B47</f>
        <v>16.9825</v>
      </c>
      <c r="C47">
        <f>LoFacingFrame!C47</f>
        <v>47.4</v>
      </c>
      <c r="D47">
        <f>LoFacingFrame!D47-ModuleFrame!$B$2</f>
        <v>-0.5594672390293681</v>
      </c>
      <c r="E47">
        <f>LoFacingFrame!E47</f>
        <v>17.004999999999995</v>
      </c>
      <c r="F47">
        <f>LoFacingFrame!F47</f>
        <v>-16.598499999999998</v>
      </c>
      <c r="G47">
        <f>LoFacingFrame!G47-ModuleFrame!$B$2</f>
        <v>0.5555327609706318</v>
      </c>
    </row>
    <row r="48" spans="1:7" ht="10.5">
      <c r="A48">
        <f>LoFacingFrame!A48</f>
        <v>18</v>
      </c>
      <c r="B48">
        <f>LoFacingFrame!B48</f>
        <v>31.879000000000005</v>
      </c>
      <c r="C48">
        <f>LoFacingFrame!C48</f>
        <v>47.4</v>
      </c>
      <c r="D48">
        <f>LoFacingFrame!D48-ModuleFrame!$B$2</f>
        <v>-0.5649672390293682</v>
      </c>
      <c r="E48">
        <f>LoFacingFrame!E48</f>
        <v>31.891999999999996</v>
      </c>
      <c r="F48">
        <f>LoFacingFrame!F48</f>
        <v>-16.598</v>
      </c>
      <c r="G48">
        <f>LoFacingFrame!G48-ModuleFrame!$B$2</f>
        <v>0.5560327609706317</v>
      </c>
    </row>
    <row r="49" spans="1:7" ht="10.5">
      <c r="A49">
        <f>LoFacingFrame!A49</f>
        <v>19</v>
      </c>
      <c r="B49">
        <f>LoFacingFrame!B49</f>
        <v>46.278999999999996</v>
      </c>
      <c r="C49">
        <f>LoFacingFrame!C49</f>
        <v>47.4</v>
      </c>
      <c r="D49">
        <f>LoFacingFrame!D49-ModuleFrame!$B$2</f>
        <v>-0.5609672390293682</v>
      </c>
      <c r="E49">
        <f>LoFacingFrame!E49</f>
        <v>46.292</v>
      </c>
      <c r="F49">
        <f>LoFacingFrame!F49</f>
        <v>-16.598</v>
      </c>
      <c r="G49">
        <f>LoFacingFrame!G49-ModuleFrame!$B$2</f>
        <v>0.5510327609706318</v>
      </c>
    </row>
    <row r="50" spans="1:7" ht="10.5">
      <c r="A50">
        <f>LoFacingFrame!A50</f>
        <v>20</v>
      </c>
      <c r="B50">
        <f>LoFacingFrame!B50</f>
        <v>60.678</v>
      </c>
      <c r="C50">
        <f>LoFacingFrame!C50</f>
        <v>47.4</v>
      </c>
      <c r="D50">
        <f>LoFacingFrame!D50-ModuleFrame!$B$2</f>
        <v>-0.5389672390293682</v>
      </c>
      <c r="E50">
        <f>LoFacingFrame!E50</f>
        <v>60.69199999999999</v>
      </c>
      <c r="F50">
        <f>LoFacingFrame!F50</f>
        <v>-16.598</v>
      </c>
      <c r="G50">
        <f>LoFacingFrame!G50-ModuleFrame!$B$2</f>
        <v>0.5340327609706319</v>
      </c>
    </row>
    <row r="51" spans="1:7" ht="10.5">
      <c r="A51">
        <f>LoFacingFrame!A51</f>
        <v>21</v>
      </c>
      <c r="B51">
        <f>LoFacingFrame!B51</f>
        <v>2.0859999999999985</v>
      </c>
      <c r="C51">
        <f>LoFacingFrame!C51</f>
        <v>62.8</v>
      </c>
      <c r="D51">
        <f>LoFacingFrame!D51-ModuleFrame!$B$2</f>
        <v>-0.5579672390293682</v>
      </c>
      <c r="E51">
        <f>LoFacingFrame!E51</f>
        <v>2.117999999999995</v>
      </c>
      <c r="F51">
        <f>LoFacingFrame!F51</f>
        <v>-1.198999999999998</v>
      </c>
      <c r="G51">
        <f>LoFacingFrame!G51-ModuleFrame!$B$2</f>
        <v>0.5550327609706318</v>
      </c>
    </row>
    <row r="52" spans="1:7" ht="10.5">
      <c r="A52">
        <f>LoFacingFrame!A52</f>
        <v>22</v>
      </c>
      <c r="B52">
        <f>LoFacingFrame!B52</f>
        <v>16.9825</v>
      </c>
      <c r="C52">
        <f>LoFacingFrame!C52</f>
        <v>62.7995</v>
      </c>
      <c r="D52">
        <f>LoFacingFrame!D52-ModuleFrame!$B$2</f>
        <v>-0.5679672390293682</v>
      </c>
      <c r="E52">
        <f>LoFacingFrame!E52</f>
        <v>17.004999999999995</v>
      </c>
      <c r="F52">
        <f>LoFacingFrame!F52</f>
        <v>-1.1984999999999992</v>
      </c>
      <c r="G52">
        <f>LoFacingFrame!G52-ModuleFrame!$B$2</f>
        <v>0.5570327609706318</v>
      </c>
    </row>
    <row r="53" spans="1:7" ht="10.5">
      <c r="A53">
        <f>LoFacingFrame!A53</f>
        <v>23</v>
      </c>
      <c r="B53">
        <f>LoFacingFrame!B53</f>
        <v>31.879000000000005</v>
      </c>
      <c r="C53">
        <f>LoFacingFrame!C53</f>
        <v>62.799</v>
      </c>
      <c r="D53">
        <f>LoFacingFrame!D53-ModuleFrame!$B$2</f>
        <v>-0.5779672390293682</v>
      </c>
      <c r="E53">
        <f>LoFacingFrame!E53</f>
        <v>31.891999999999996</v>
      </c>
      <c r="F53">
        <f>LoFacingFrame!F53</f>
        <v>-1.1980000000000004</v>
      </c>
      <c r="G53">
        <f>LoFacingFrame!G53-ModuleFrame!$B$2</f>
        <v>0.5590327609706318</v>
      </c>
    </row>
    <row r="54" spans="1:7" ht="10.5">
      <c r="A54">
        <f>LoFacingFrame!A54</f>
        <v>24</v>
      </c>
      <c r="B54">
        <f>LoFacingFrame!B54</f>
        <v>46.278000000000006</v>
      </c>
      <c r="C54">
        <f>LoFacingFrame!C54</f>
        <v>62.8</v>
      </c>
      <c r="D54">
        <f>LoFacingFrame!D54-ModuleFrame!$B$2</f>
        <v>-0.5739672390293682</v>
      </c>
      <c r="E54">
        <f>LoFacingFrame!E54</f>
        <v>46.292</v>
      </c>
      <c r="F54">
        <f>LoFacingFrame!F54</f>
        <v>-1.1980000000000004</v>
      </c>
      <c r="G54">
        <f>LoFacingFrame!G54-ModuleFrame!$B$2</f>
        <v>0.5500327609706317</v>
      </c>
    </row>
    <row r="55" spans="1:7" ht="10.5">
      <c r="A55">
        <f>LoFacingFrame!A55</f>
        <v>25</v>
      </c>
      <c r="B55">
        <f>LoFacingFrame!B55</f>
        <v>60.679</v>
      </c>
      <c r="C55">
        <f>LoFacingFrame!C55</f>
        <v>62.8</v>
      </c>
      <c r="D55">
        <f>LoFacingFrame!D55-ModuleFrame!$B$2</f>
        <v>-0.5599672390293682</v>
      </c>
      <c r="E55">
        <f>LoFacingFrame!E55</f>
        <v>60.691</v>
      </c>
      <c r="F55">
        <f>LoFacingFrame!F55</f>
        <v>-1.1980000000000004</v>
      </c>
      <c r="G55">
        <f>LoFacingFrame!G55-ModuleFrame!$B$2</f>
        <v>0.5370327609706318</v>
      </c>
    </row>
  </sheetData>
  <printOptions/>
  <pageMargins left="0.75" right="0.75" top="1" bottom="1" header="0.512" footer="0.512"/>
  <pageSetup fitToHeight="1" fitToWidth="1" orientation="portrait" paperSize="9" scale="80" r:id="rId1"/>
  <headerFooter alignWithMargins="0">
    <oddHeader>&amp;C&amp;F</oddHeader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B33">
      <selection activeCell="N32" sqref="N32"/>
    </sheetView>
  </sheetViews>
  <sheetFormatPr defaultColWidth="9.140625" defaultRowHeight="12"/>
  <cols>
    <col min="1" max="3" width="12.00390625" style="0" customWidth="1"/>
    <col min="4" max="4" width="13.00390625" style="0" customWidth="1"/>
    <col min="5" max="16384" width="12.00390625" style="0" customWidth="1"/>
  </cols>
  <sheetData>
    <row r="1" ht="12">
      <c r="A1" t="s">
        <v>82</v>
      </c>
    </row>
    <row r="2" spans="1:8" ht="12">
      <c r="A2" t="s">
        <v>310</v>
      </c>
      <c r="H2" t="s">
        <v>311</v>
      </c>
    </row>
    <row r="3" spans="1:13" ht="12">
      <c r="A3" t="s">
        <v>387</v>
      </c>
      <c r="B3" s="25">
        <f>AVERAGE(ModuleFrame!C5:C9,ModuleFrame!C31:C35)</f>
        <v>1.2000000000000028</v>
      </c>
      <c r="C3" s="25">
        <f>AVERAGE(ModuleFrame!C10:C14,ModuleFrame!C36:C40)</f>
        <v>16.599849999999996</v>
      </c>
      <c r="D3" s="25">
        <f>AVERAGE(ModuleFrame!C15:C19,ModuleFrame!C41:C45)</f>
        <v>31.999900000000004</v>
      </c>
      <c r="E3" s="25">
        <f>AVERAGE(ModuleFrame!C20:C24,ModuleFrame!C46:C50)</f>
        <v>47.39999999999999</v>
      </c>
      <c r="F3" s="25">
        <f>AVERAGE(ModuleFrame!C25:C29,ModuleFrame!C51:C55)</f>
        <v>62.799749999999996</v>
      </c>
      <c r="H3" t="str">
        <f aca="true" t="shared" si="0" ref="H3:M3">A3</f>
        <v>x\y</v>
      </c>
      <c r="I3" s="25">
        <f t="shared" si="0"/>
        <v>1.2000000000000028</v>
      </c>
      <c r="J3" s="25">
        <f t="shared" si="0"/>
        <v>16.599849999999996</v>
      </c>
      <c r="K3" s="25">
        <f t="shared" si="0"/>
        <v>31.999900000000004</v>
      </c>
      <c r="L3" s="25">
        <f t="shared" si="0"/>
        <v>47.39999999999999</v>
      </c>
      <c r="M3" s="25">
        <f t="shared" si="0"/>
        <v>62.799749999999996</v>
      </c>
    </row>
    <row r="4" spans="1:13" ht="12">
      <c r="A4" s="25">
        <f>AVERAGE(ModuleFrame!B5,ModuleFrame!B10,ModuleFrame!B15,ModuleFrame!B20,ModuleFrame!B25)</f>
        <v>-60.9994</v>
      </c>
      <c r="B4" s="14">
        <f ca="1">INDIRECT(ADDRESS(5+(ROW()-4)+(COLUMN()-2)*5,4,3,TRUE,"ModuleFrame"))</f>
        <v>-0.5949672390293681</v>
      </c>
      <c r="C4" s="14">
        <f ca="1" t="shared" si="1" ref="C4:F8">INDIRECT(ADDRESS(5+(ROW()-4)+(COLUMN()-2)*5,4,3,TRUE,"ModuleFrame"))</f>
        <v>-0.5869672390293681</v>
      </c>
      <c r="D4" s="14">
        <f ca="1" t="shared" si="1"/>
        <v>-0.5919672390293682</v>
      </c>
      <c r="E4" s="14">
        <f ca="1" t="shared" si="1"/>
        <v>-0.5889672390293681</v>
      </c>
      <c r="F4" s="14">
        <f ca="1" t="shared" si="1"/>
        <v>-0.6009672390293681</v>
      </c>
      <c r="H4" s="25">
        <f aca="true" t="shared" si="2" ref="H4:H13">A4</f>
        <v>-60.9994</v>
      </c>
      <c r="I4" s="14">
        <f ca="1">INDIRECT(ADDRESS(5+(ROW()-4)+(COLUMN()-9)*5,7,3,TRUE,"ModuleFrame"))</f>
        <v>0.4680327609706319</v>
      </c>
      <c r="J4" s="14">
        <f ca="1" t="shared" si="3" ref="J4:M8">INDIRECT(ADDRESS(5+(ROW()-4)+(COLUMN()-9)*5,7,3,TRUE,"ModuleFrame"))</f>
        <v>0.4490327609706319</v>
      </c>
      <c r="K4" s="14">
        <f ca="1" t="shared" si="3"/>
        <v>0.4570327609706319</v>
      </c>
      <c r="L4" s="14">
        <f ca="1" t="shared" si="3"/>
        <v>0.4600327609706319</v>
      </c>
      <c r="M4" s="14">
        <f ca="1" t="shared" si="3"/>
        <v>0.4560327609706319</v>
      </c>
    </row>
    <row r="5" spans="1:13" ht="12">
      <c r="A5" s="25">
        <f>AVERAGE(ModuleFrame!B6,ModuleFrame!B11,ModuleFrame!B16,ModuleFrame!B21,ModuleFrame!B26)</f>
        <v>-46.599399999999996</v>
      </c>
      <c r="B5" s="14">
        <f ca="1">INDIRECT(ADDRESS(5+(ROW()-4)+(COLUMN()-2)*5,4,3,TRUE,"ModuleFrame"))</f>
        <v>-0.6069672390293681</v>
      </c>
      <c r="C5" s="14">
        <f ca="1" t="shared" si="1"/>
        <v>-0.5949672390293681</v>
      </c>
      <c r="D5" s="14">
        <f ca="1" t="shared" si="1"/>
        <v>-0.5999672390293681</v>
      </c>
      <c r="E5" s="14">
        <f ca="1" t="shared" si="1"/>
        <v>-0.5989672390293681</v>
      </c>
      <c r="F5" s="14">
        <f ca="1" t="shared" si="1"/>
        <v>-0.6079672390293681</v>
      </c>
      <c r="H5" s="25">
        <f t="shared" si="2"/>
        <v>-46.599399999999996</v>
      </c>
      <c r="I5" s="14">
        <f ca="1">INDIRECT(ADDRESS(5+(ROW()-4)+(COLUMN()-9)*5,7,3,TRUE,"ModuleFrame"))</f>
        <v>0.5120327609706319</v>
      </c>
      <c r="J5" s="14">
        <f ca="1" t="shared" si="3"/>
        <v>0.4970327609706318</v>
      </c>
      <c r="K5" s="14">
        <f ca="1" t="shared" si="3"/>
        <v>0.4970327609706318</v>
      </c>
      <c r="L5" s="14">
        <f ca="1" t="shared" si="3"/>
        <v>0.4980327609706318</v>
      </c>
      <c r="M5" s="14">
        <f ca="1" t="shared" si="3"/>
        <v>0.5010327609706318</v>
      </c>
    </row>
    <row r="6" spans="1:13" ht="12">
      <c r="A6" s="25">
        <f>AVERAGE(ModuleFrame!B7,ModuleFrame!B12,ModuleFrame!B17,ModuleFrame!B22,ModuleFrame!B27)</f>
        <v>-32.1998</v>
      </c>
      <c r="B6" s="14">
        <f ca="1">INDIRECT(ADDRESS(5+(ROW()-4)+(COLUMN()-2)*5,4,3,TRUE,"ModuleFrame"))</f>
        <v>-0.6049672390293681</v>
      </c>
      <c r="C6" s="14">
        <f ca="1" t="shared" si="1"/>
        <v>-0.5959672390293682</v>
      </c>
      <c r="D6" s="14">
        <f ca="1" t="shared" si="1"/>
        <v>-0.5929672390293681</v>
      </c>
      <c r="E6" s="14">
        <f ca="1" t="shared" si="1"/>
        <v>-0.5899672390293682</v>
      </c>
      <c r="F6" s="14">
        <f ca="1" t="shared" si="1"/>
        <v>-0.6009672390293681</v>
      </c>
      <c r="H6" s="25">
        <f t="shared" si="2"/>
        <v>-32.1998</v>
      </c>
      <c r="I6" s="14">
        <f ca="1">INDIRECT(ADDRESS(5+(ROW()-4)+(COLUMN()-9)*5,7,3,TRUE,"ModuleFrame"))</f>
        <v>0.5420327609706317</v>
      </c>
      <c r="J6" s="14">
        <f ca="1" t="shared" si="3"/>
        <v>0.5250327609706318</v>
      </c>
      <c r="K6" s="14">
        <f ca="1" t="shared" si="3"/>
        <v>0.5270327609706318</v>
      </c>
      <c r="L6" s="14">
        <f ca="1" t="shared" si="3"/>
        <v>0.5250327609706318</v>
      </c>
      <c r="M6" s="14">
        <f ca="1" t="shared" si="3"/>
        <v>0.5280327609706319</v>
      </c>
    </row>
    <row r="7" spans="1:13" ht="12">
      <c r="A7" s="25">
        <f>AVERAGE(ModuleFrame!B8,ModuleFrame!B13,ModuleFrame!B18,ModuleFrame!B23,ModuleFrame!B28)</f>
        <v>-17.799799999999998</v>
      </c>
      <c r="B7" s="14">
        <f ca="1">INDIRECT(ADDRESS(5+(ROW()-4)+(COLUMN()-2)*5,4,3,TRUE,"ModuleFrame"))</f>
        <v>-0.5939672390293682</v>
      </c>
      <c r="C7" s="14">
        <f ca="1" t="shared" si="1"/>
        <v>-0.5799672390293682</v>
      </c>
      <c r="D7" s="14">
        <f ca="1" t="shared" si="1"/>
        <v>-0.5819672390293682</v>
      </c>
      <c r="E7" s="14">
        <f ca="1" t="shared" si="1"/>
        <v>-0.5759672390293682</v>
      </c>
      <c r="F7" s="14">
        <f ca="1" t="shared" si="1"/>
        <v>-0.5839672390293682</v>
      </c>
      <c r="H7" s="25">
        <f t="shared" si="2"/>
        <v>-17.799799999999998</v>
      </c>
      <c r="I7" s="14">
        <f ca="1">INDIRECT(ADDRESS(5+(ROW()-4)+(COLUMN()-9)*5,7,3,TRUE,"ModuleFrame"))</f>
        <v>0.5580327609706317</v>
      </c>
      <c r="J7" s="14">
        <f ca="1" t="shared" si="3"/>
        <v>0.5400327609706319</v>
      </c>
      <c r="K7" s="14">
        <f ca="1" t="shared" si="3"/>
        <v>0.5470327609706318</v>
      </c>
      <c r="L7" s="14">
        <f ca="1" t="shared" si="3"/>
        <v>0.5470327609706318</v>
      </c>
      <c r="M7" s="14">
        <f ca="1" t="shared" si="3"/>
        <v>0.5480327609706317</v>
      </c>
    </row>
    <row r="8" spans="1:13" ht="12">
      <c r="A8" s="25">
        <f>AVERAGE(ModuleFrame!B9,ModuleFrame!B14,ModuleFrame!B19,ModuleFrame!B24,ModuleFrame!B29)</f>
        <v>-3.3994</v>
      </c>
      <c r="B8" s="14">
        <f ca="1">INDIRECT(ADDRESS(5+(ROW()-4)+(COLUMN()-2)*5,4,3,TRUE,"ModuleFrame"))</f>
        <v>-0.5739672390293682</v>
      </c>
      <c r="C8" s="14">
        <f ca="1" t="shared" si="1"/>
        <v>-0.5609672390293682</v>
      </c>
      <c r="D8" s="14">
        <f ca="1" t="shared" si="1"/>
        <v>-0.5619672390293682</v>
      </c>
      <c r="E8" s="14">
        <f ca="1" t="shared" si="1"/>
        <v>-0.5679672390293682</v>
      </c>
      <c r="F8" s="14">
        <f ca="1" t="shared" si="1"/>
        <v>-0.5669672390293682</v>
      </c>
      <c r="H8" s="25">
        <f t="shared" si="2"/>
        <v>-3.3994</v>
      </c>
      <c r="I8" s="14">
        <f ca="1">INDIRECT(ADDRESS(5+(ROW()-4)+(COLUMN()-9)*5,7,3,TRUE,"ModuleFrame"))</f>
        <v>0.5640327609706317</v>
      </c>
      <c r="J8" s="14">
        <f ca="1" t="shared" si="3"/>
        <v>0.5490327609706318</v>
      </c>
      <c r="K8" s="14">
        <f ca="1" t="shared" si="3"/>
        <v>0.5540327609706317</v>
      </c>
      <c r="L8" s="14">
        <f ca="1" t="shared" si="3"/>
        <v>0.5520327609706317</v>
      </c>
      <c r="M8" s="14">
        <f ca="1" t="shared" si="3"/>
        <v>0.5620327609706317</v>
      </c>
    </row>
    <row r="9" spans="1:13" ht="12">
      <c r="A9" s="25">
        <f>AVERAGE(ModuleFrame!B31,ModuleFrame!B36,ModuleFrame!B41,ModuleFrame!B46,ModuleFrame!B51)</f>
        <v>2.0859999999999985</v>
      </c>
      <c r="B9" s="14">
        <f ca="1">INDIRECT(ADDRESS(31+(ROW()-9)+(COLUMN()-2)*5,4,3,TRUE,"ModuleFrame"))</f>
        <v>-0.5549672390293682</v>
      </c>
      <c r="C9" s="14">
        <f ca="1" t="shared" si="4" ref="C9:F13">INDIRECT(ADDRESS(31+(ROW()-9)+(COLUMN()-2)*5,4,3,TRUE,"ModuleFrame"))</f>
        <v>-0.5559672390293682</v>
      </c>
      <c r="D9" s="14">
        <f ca="1" t="shared" si="4"/>
        <v>-0.5589672390293682</v>
      </c>
      <c r="E9" s="14">
        <f ca="1" t="shared" si="4"/>
        <v>-0.5539672390293682</v>
      </c>
      <c r="F9" s="14">
        <f ca="1" t="shared" si="4"/>
        <v>-0.5579672390293682</v>
      </c>
      <c r="H9" s="25">
        <f t="shared" si="2"/>
        <v>2.0859999999999985</v>
      </c>
      <c r="I9" s="14">
        <f ca="1">INDIRECT(ADDRESS(31+(ROW()-9)+(COLUMN()-9)*5,7,3,TRUE,"ModuleFrame"))</f>
        <v>0.5590327609706318</v>
      </c>
      <c r="J9" s="14">
        <f ca="1" t="shared" si="5" ref="J9:M13">INDIRECT(ADDRESS(31+(ROW()-9)+(COLUMN()-9)*5,7,3,TRUE,"ModuleFrame"))</f>
        <v>0.5560327609706317</v>
      </c>
      <c r="K9" s="14">
        <f ca="1" t="shared" si="5"/>
        <v>0.5550327609706318</v>
      </c>
      <c r="L9" s="14">
        <f ca="1" t="shared" si="5"/>
        <v>0.5550327609706318</v>
      </c>
      <c r="M9" s="14">
        <f ca="1" t="shared" si="5"/>
        <v>0.5550327609706318</v>
      </c>
    </row>
    <row r="10" spans="1:13" ht="12">
      <c r="A10" s="25">
        <f>AVERAGE(ModuleFrame!B32,ModuleFrame!B37,ModuleFrame!B42,ModuleFrame!B47,ModuleFrame!B52)</f>
        <v>16.9825</v>
      </c>
      <c r="B10" s="14">
        <f ca="1">INDIRECT(ADDRESS(31+(ROW()-9)+(COLUMN()-2)*5,4,3,TRUE,"ModuleFrame"))</f>
        <v>-0.5594672390293681</v>
      </c>
      <c r="C10" s="14">
        <f ca="1" t="shared" si="4"/>
        <v>-0.5604672390293681</v>
      </c>
      <c r="D10" s="14">
        <f ca="1" t="shared" si="4"/>
        <v>-0.5619672390293682</v>
      </c>
      <c r="E10" s="14">
        <f ca="1" t="shared" si="4"/>
        <v>-0.5594672390293681</v>
      </c>
      <c r="F10" s="14">
        <f ca="1" t="shared" si="4"/>
        <v>-0.5679672390293682</v>
      </c>
      <c r="H10" s="25">
        <f t="shared" si="2"/>
        <v>16.9825</v>
      </c>
      <c r="I10" s="14">
        <f ca="1">INDIRECT(ADDRESS(31+(ROW()-9)+(COLUMN()-9)*5,7,3,TRUE,"ModuleFrame"))</f>
        <v>0.5655327609706318</v>
      </c>
      <c r="J10" s="14">
        <f ca="1" t="shared" si="5"/>
        <v>0.5560327609706317</v>
      </c>
      <c r="K10" s="14">
        <f ca="1" t="shared" si="5"/>
        <v>0.5570327609706318</v>
      </c>
      <c r="L10" s="14">
        <f ca="1" t="shared" si="5"/>
        <v>0.5555327609706318</v>
      </c>
      <c r="M10" s="14">
        <f ca="1" t="shared" si="5"/>
        <v>0.5570327609706318</v>
      </c>
    </row>
    <row r="11" spans="1:13" ht="12">
      <c r="A11" s="25">
        <f>AVERAGE(ModuleFrame!B33,ModuleFrame!B38,ModuleFrame!B43,ModuleFrame!B48,ModuleFrame!B53)</f>
        <v>31.87900000000001</v>
      </c>
      <c r="B11" s="14">
        <f ca="1">INDIRECT(ADDRESS(31+(ROW()-9)+(COLUMN()-2)*5,4,3,TRUE,"ModuleFrame"))</f>
        <v>-0.5639672390293682</v>
      </c>
      <c r="C11" s="14">
        <f ca="1" t="shared" si="4"/>
        <v>-0.5649672390293682</v>
      </c>
      <c r="D11" s="14">
        <f ca="1" t="shared" si="4"/>
        <v>-0.5649672390293682</v>
      </c>
      <c r="E11" s="14">
        <f ca="1" t="shared" si="4"/>
        <v>-0.5649672390293682</v>
      </c>
      <c r="F11" s="14">
        <f ca="1" t="shared" si="4"/>
        <v>-0.5779672390293682</v>
      </c>
      <c r="H11" s="25">
        <f t="shared" si="2"/>
        <v>31.87900000000001</v>
      </c>
      <c r="I11" s="14">
        <f ca="1">INDIRECT(ADDRESS(31+(ROW()-9)+(COLUMN()-9)*5,7,3,TRUE,"ModuleFrame"))</f>
        <v>0.5720327609706317</v>
      </c>
      <c r="J11" s="14">
        <f ca="1" t="shared" si="5"/>
        <v>0.5560327609706317</v>
      </c>
      <c r="K11" s="14">
        <f ca="1" t="shared" si="5"/>
        <v>0.5590327609706318</v>
      </c>
      <c r="L11" s="14">
        <f ca="1" t="shared" si="5"/>
        <v>0.5560327609706317</v>
      </c>
      <c r="M11" s="14">
        <f ca="1" t="shared" si="5"/>
        <v>0.5590327609706318</v>
      </c>
    </row>
    <row r="12" spans="1:13" ht="12">
      <c r="A12" s="25">
        <f>AVERAGE(ModuleFrame!B34,ModuleFrame!B39,ModuleFrame!B44,ModuleFrame!B49,ModuleFrame!B54)</f>
        <v>46.278800000000004</v>
      </c>
      <c r="B12" s="14">
        <f ca="1">INDIRECT(ADDRESS(31+(ROW()-9)+(COLUMN()-2)*5,4,3,TRUE,"ModuleFrame"))</f>
        <v>-0.5539672390293682</v>
      </c>
      <c r="C12" s="14">
        <f ca="1" t="shared" si="4"/>
        <v>-0.5559672390293682</v>
      </c>
      <c r="D12" s="14">
        <f ca="1" t="shared" si="4"/>
        <v>-0.5639672390293682</v>
      </c>
      <c r="E12" s="14">
        <f ca="1" t="shared" si="4"/>
        <v>-0.5609672390293682</v>
      </c>
      <c r="F12" s="14">
        <f ca="1" t="shared" si="4"/>
        <v>-0.5739672390293682</v>
      </c>
      <c r="H12" s="25">
        <f t="shared" si="2"/>
        <v>46.278800000000004</v>
      </c>
      <c r="I12" s="14">
        <f ca="1">INDIRECT(ADDRESS(31+(ROW()-9)+(COLUMN()-9)*5,7,3,TRUE,"ModuleFrame"))</f>
        <v>0.5640327609706317</v>
      </c>
      <c r="J12" s="14">
        <f ca="1" t="shared" si="5"/>
        <v>0.5430327609706318</v>
      </c>
      <c r="K12" s="14">
        <f ca="1" t="shared" si="5"/>
        <v>0.5510327609706318</v>
      </c>
      <c r="L12" s="14">
        <f ca="1" t="shared" si="5"/>
        <v>0.5510327609706318</v>
      </c>
      <c r="M12" s="14">
        <f ca="1" t="shared" si="5"/>
        <v>0.5500327609706317</v>
      </c>
    </row>
    <row r="13" spans="1:13" ht="12">
      <c r="A13" s="25">
        <f>AVERAGE(ModuleFrame!B35,ModuleFrame!B40,ModuleFrame!B45,ModuleFrame!B50,ModuleFrame!B55)</f>
        <v>60.6788</v>
      </c>
      <c r="B13" s="14">
        <f ca="1">INDIRECT(ADDRESS(31+(ROW()-9)+(COLUMN()-2)*5,4,3,TRUE,"ModuleFrame"))</f>
        <v>-0.5339672390293682</v>
      </c>
      <c r="C13" s="14">
        <f ca="1" t="shared" si="4"/>
        <v>-0.5369672390293682</v>
      </c>
      <c r="D13" s="14">
        <f ca="1" t="shared" si="4"/>
        <v>-0.5429672390293682</v>
      </c>
      <c r="E13" s="14">
        <f ca="1" t="shared" si="4"/>
        <v>-0.5389672390293682</v>
      </c>
      <c r="F13" s="14">
        <f ca="1" t="shared" si="4"/>
        <v>-0.5599672390293682</v>
      </c>
      <c r="H13" s="25">
        <f t="shared" si="2"/>
        <v>60.6788</v>
      </c>
      <c r="I13" s="14">
        <f ca="1">INDIRECT(ADDRESS(31+(ROW()-9)+(COLUMN()-9)*5,7,3,TRUE,"ModuleFrame"))</f>
        <v>0.5430327609706318</v>
      </c>
      <c r="J13" s="14">
        <f ca="1" t="shared" si="5"/>
        <v>0.5220327609706319</v>
      </c>
      <c r="K13" s="14">
        <f ca="1" t="shared" si="5"/>
        <v>0.5290327609706318</v>
      </c>
      <c r="L13" s="14">
        <f ca="1" t="shared" si="5"/>
        <v>0.5340327609706319</v>
      </c>
      <c r="M13" s="14">
        <f ca="1" t="shared" si="5"/>
        <v>0.5370327609706318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91" r:id="rId2"/>
  <headerFooter alignWithMargins="0">
    <oddHeader>&amp;C&amp;F</oddHeader>
    <oddFooter>&amp;C&amp;A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91"/>
  <sheetViews>
    <sheetView workbookViewId="0" topLeftCell="A13">
      <selection activeCell="I6" sqref="I6"/>
    </sheetView>
  </sheetViews>
  <sheetFormatPr defaultColWidth="9.140625" defaultRowHeight="12"/>
  <cols>
    <col min="1" max="16384" width="9.00390625" style="0" customWidth="1"/>
  </cols>
  <sheetData>
    <row r="2" ht="10.5">
      <c r="A2" t="s">
        <v>349</v>
      </c>
    </row>
    <row r="3" spans="1:3" ht="10.5">
      <c r="A3" t="s">
        <v>394</v>
      </c>
      <c r="B3" t="s">
        <v>310</v>
      </c>
      <c r="C3" t="s">
        <v>311</v>
      </c>
    </row>
    <row r="4" spans="1:3" ht="10.5">
      <c r="A4" t="s">
        <v>395</v>
      </c>
      <c r="B4">
        <f>AVERAGE(StageFrame!B5:B29,StageFrame!B31:B55)</f>
        <v>0.0008508104479545864</v>
      </c>
      <c r="C4">
        <f>AVERAGE(StageFrame!E5:E29,StageFrame!E31:E55)</f>
        <v>0.0004902591556736979</v>
      </c>
    </row>
    <row r="5" spans="1:12" ht="10.5">
      <c r="A5" t="s">
        <v>396</v>
      </c>
      <c r="B5">
        <f>AVERAGE(StageFrame!C5:C29,StageFrame!C31:C55)</f>
        <v>0.0019504949441029851</v>
      </c>
      <c r="C5">
        <f>AVERAGE(StageFrame!F5:F29,StageFrame!F31:F55)</f>
        <v>-4.162426102496397E-05</v>
      </c>
      <c r="F5" s="14"/>
      <c r="G5" s="14"/>
      <c r="H5" s="14"/>
      <c r="I5" s="14"/>
      <c r="J5" s="14"/>
      <c r="K5" s="14"/>
      <c r="L5" s="14"/>
    </row>
    <row r="6" spans="1:3" ht="10.5">
      <c r="A6" t="s">
        <v>397</v>
      </c>
      <c r="B6">
        <f>AVERAGE(StageFrame!B5:B29)</f>
        <v>-32.01897885778843</v>
      </c>
      <c r="C6">
        <f>AVERAGE(StageFrame!E5:E29)</f>
        <v>-32.04483021621074</v>
      </c>
    </row>
    <row r="7" spans="1:3" ht="10.5">
      <c r="A7" t="s">
        <v>398</v>
      </c>
      <c r="B7">
        <f>AVERAGE(StageFrame!C5:C29)</f>
        <v>-1.2795024891699565</v>
      </c>
      <c r="C7">
        <f>AVERAGE(StageFrame!F5:F29)</f>
        <v>-7.414306280139726E-05</v>
      </c>
    </row>
    <row r="8" spans="1:3" ht="10.5">
      <c r="A8" t="s">
        <v>399</v>
      </c>
      <c r="B8">
        <f>AVERAGE(StageFrame!B31:B55)</f>
        <v>32.02068047868434</v>
      </c>
      <c r="C8">
        <f>AVERAGE(StageFrame!E31:E55)</f>
        <v>32.0458107345221</v>
      </c>
    </row>
    <row r="9" spans="1:12" ht="10.5">
      <c r="A9" t="s">
        <v>400</v>
      </c>
      <c r="B9">
        <f>AVERAGE(StageFrame!C31:C55)</f>
        <v>1.2834034790581632</v>
      </c>
      <c r="C9">
        <f>AVERAGE(StageFrame!F31:F55)</f>
        <v>-9.105459247678027E-06</v>
      </c>
      <c r="F9" s="14"/>
      <c r="G9" s="14"/>
      <c r="H9" s="14"/>
      <c r="I9" s="14"/>
      <c r="J9" s="14"/>
      <c r="K9" s="14"/>
      <c r="L9" s="14"/>
    </row>
    <row r="10" spans="1:12" ht="10.5">
      <c r="A10" t="s">
        <v>401</v>
      </c>
      <c r="B10">
        <f>ATAN((B9-B7)/(B8-B6))</f>
        <v>0.03999926008884958</v>
      </c>
      <c r="C10">
        <f>ATAN((C9-C7)/(C8-C6))</f>
        <v>1.0147753648413659E-06</v>
      </c>
      <c r="F10" s="14"/>
      <c r="G10" s="14"/>
      <c r="H10" s="14"/>
      <c r="I10" s="14"/>
      <c r="J10" s="14"/>
      <c r="K10" s="14"/>
      <c r="L10" s="14"/>
    </row>
    <row r="11" spans="1:12" ht="10.5">
      <c r="A11" t="s">
        <v>402</v>
      </c>
      <c r="B11">
        <f>B10-(B10+C10)/2</f>
        <v>0.01999912265674237</v>
      </c>
      <c r="C11">
        <f>-(C10-(B10+C10)/2)</f>
        <v>0.01999912265674237</v>
      </c>
      <c r="F11" s="14"/>
      <c r="G11" s="14"/>
      <c r="H11" s="14"/>
      <c r="I11" s="14"/>
      <c r="J11" s="14"/>
      <c r="K11" s="14"/>
      <c r="L11" s="14"/>
    </row>
    <row r="12" spans="1:3" ht="10.5">
      <c r="A12" t="s">
        <v>403</v>
      </c>
      <c r="B12">
        <f>COS(B11)</f>
        <v>0.9998000242118884</v>
      </c>
      <c r="C12">
        <f>COS(C11)</f>
        <v>0.9998000242118884</v>
      </c>
    </row>
    <row r="13" spans="1:3" ht="10.5">
      <c r="A13" t="s">
        <v>404</v>
      </c>
      <c r="B13">
        <f>SIN(B11)</f>
        <v>0.019997789525530555</v>
      </c>
      <c r="C13">
        <f>SIN(C11)</f>
        <v>0.019997789525530555</v>
      </c>
    </row>
    <row r="16" ht="10.5">
      <c r="A16" t="s">
        <v>350</v>
      </c>
    </row>
    <row r="17" spans="1:2" ht="10.5">
      <c r="A17" t="s">
        <v>310</v>
      </c>
      <c r="B17" t="s">
        <v>363</v>
      </c>
    </row>
    <row r="18" spans="1:18" ht="10.5">
      <c r="A18" t="str">
        <f>StageFrame!A69</f>
        <v>zReference</v>
      </c>
      <c r="B18" t="str">
        <f>StageFrame!B69</f>
        <v>x</v>
      </c>
      <c r="C18" t="str">
        <f>StageFrame!C69</f>
        <v>y</v>
      </c>
      <c r="D18" t="str">
        <f>StageFrame!D69</f>
        <v>z</v>
      </c>
      <c r="E18">
        <v>1</v>
      </c>
      <c r="F18" t="s">
        <v>364</v>
      </c>
      <c r="G18" t="s">
        <v>365</v>
      </c>
      <c r="H18" t="s">
        <v>366</v>
      </c>
      <c r="I18" t="s">
        <v>367</v>
      </c>
      <c r="J18" t="s">
        <v>368</v>
      </c>
      <c r="K18" t="s">
        <v>369</v>
      </c>
      <c r="N18" t="s">
        <v>370</v>
      </c>
      <c r="Q18" t="s">
        <v>371</v>
      </c>
      <c r="R18" t="s">
        <v>372</v>
      </c>
    </row>
    <row r="19" spans="1:18" ht="10.5">
      <c r="A19" s="14">
        <f>StageFrame!A70</f>
        <v>1</v>
      </c>
      <c r="B19" s="14">
        <f>StageFrame!B70</f>
        <v>-60</v>
      </c>
      <c r="C19" s="14">
        <f>StageFrame!C70</f>
        <v>-30</v>
      </c>
      <c r="D19" s="14">
        <f>StageFrame!D70</f>
        <v>0</v>
      </c>
      <c r="E19">
        <f>1</f>
        <v>1</v>
      </c>
      <c r="F19">
        <f aca="true" t="shared" si="0" ref="F19:G21">B19*B19</f>
        <v>3600</v>
      </c>
      <c r="G19">
        <f t="shared" si="0"/>
        <v>900</v>
      </c>
      <c r="H19">
        <f>B19*C19</f>
        <v>1800</v>
      </c>
      <c r="I19">
        <f>D19*B19</f>
        <v>0</v>
      </c>
      <c r="J19">
        <f>D19*C19</f>
        <v>0</v>
      </c>
      <c r="K19" s="15">
        <f>SUM(B19:B21)</f>
        <v>60</v>
      </c>
      <c r="L19" s="16">
        <f>SUM(C19:C21)</f>
        <v>-30</v>
      </c>
      <c r="M19" s="17">
        <f>SUM(E19:E21)</f>
        <v>3</v>
      </c>
      <c r="N19" s="15">
        <f>INDEX(MINVERSE(K19:M21),1,1)</f>
        <v>-0.004166666666666667</v>
      </c>
      <c r="O19" s="16">
        <f>INDEX(MINVERSE(K19:M21),1,2)</f>
        <v>0.0001388888888888889</v>
      </c>
      <c r="P19" s="17">
        <f>INDEX(MINVERSE(K19:M21),1,3)</f>
        <v>-0.0001388888888888889</v>
      </c>
      <c r="Q19" s="18">
        <f>SUM(D19:D21)</f>
        <v>0</v>
      </c>
      <c r="R19">
        <f>N19*Q19+O19*Q20+P19*Q21</f>
        <v>0</v>
      </c>
    </row>
    <row r="20" spans="1:18" ht="10.5">
      <c r="A20" s="14">
        <f>StageFrame!A71</f>
        <v>2</v>
      </c>
      <c r="B20" s="14">
        <f>StageFrame!B71</f>
        <v>60</v>
      </c>
      <c r="C20" s="14">
        <f>StageFrame!C71</f>
        <v>-30</v>
      </c>
      <c r="D20" s="14">
        <f>StageFrame!D71</f>
        <v>0</v>
      </c>
      <c r="E20">
        <f>1</f>
        <v>1</v>
      </c>
      <c r="F20">
        <f t="shared" si="0"/>
        <v>3600</v>
      </c>
      <c r="G20">
        <f t="shared" si="0"/>
        <v>900</v>
      </c>
      <c r="H20">
        <f>B20*C20</f>
        <v>-1800</v>
      </c>
      <c r="I20">
        <f>D20*B20</f>
        <v>0</v>
      </c>
      <c r="J20">
        <f>D20*C20</f>
        <v>0</v>
      </c>
      <c r="K20" s="19">
        <f>SUM(F19:F21)</f>
        <v>10800</v>
      </c>
      <c r="L20" s="14">
        <f>SUM(H19:H21)</f>
        <v>1800</v>
      </c>
      <c r="M20" s="20">
        <f>K19</f>
        <v>60</v>
      </c>
      <c r="N20" s="19">
        <f>INDEX(MINVERSE(K19:M21),2,1)</f>
        <v>0.008333333333333333</v>
      </c>
      <c r="O20" s="14">
        <f>INDEX(MINVERSE(K19:M21),2,2)</f>
        <v>-0.0001388888888888889</v>
      </c>
      <c r="P20" s="20">
        <f>INDEX(MINVERSE(K19:M21),2,3)</f>
        <v>0.0005555555555555556</v>
      </c>
      <c r="Q20" s="21">
        <f>SUM(I19:I21)</f>
        <v>0</v>
      </c>
      <c r="R20">
        <f>N20*Q19+O20*Q20+P20*Q21</f>
        <v>0</v>
      </c>
    </row>
    <row r="21" spans="1:18" ht="10.5">
      <c r="A21" s="14">
        <f>StageFrame!A72</f>
        <v>3</v>
      </c>
      <c r="B21" s="14">
        <f>StageFrame!B72</f>
        <v>60</v>
      </c>
      <c r="C21" s="14">
        <f>StageFrame!C72</f>
        <v>30</v>
      </c>
      <c r="D21" s="14">
        <f>StageFrame!D72</f>
        <v>0</v>
      </c>
      <c r="E21">
        <f>1</f>
        <v>1</v>
      </c>
      <c r="F21">
        <f t="shared" si="0"/>
        <v>3600</v>
      </c>
      <c r="G21">
        <f t="shared" si="0"/>
        <v>900</v>
      </c>
      <c r="H21">
        <f>B21*C21</f>
        <v>1800</v>
      </c>
      <c r="I21">
        <f>D21*B21</f>
        <v>0</v>
      </c>
      <c r="J21">
        <f>D21*C21</f>
        <v>0</v>
      </c>
      <c r="K21" s="22">
        <f>L20</f>
        <v>1800</v>
      </c>
      <c r="L21" s="3">
        <f>SUM(G19:G21)</f>
        <v>2700</v>
      </c>
      <c r="M21" s="23">
        <f>L19</f>
        <v>-30</v>
      </c>
      <c r="N21" s="22">
        <f>INDEX(MINVERSE(K19:M21),3,1)</f>
        <v>0.5</v>
      </c>
      <c r="O21" s="3">
        <f>INDEX(MINVERSE(K19:M21),3,2)</f>
        <v>-0.004166666666666667</v>
      </c>
      <c r="P21" s="23">
        <f>INDEX(MINVERSE(K19:M21),3,3)</f>
        <v>0.008333333333333333</v>
      </c>
      <c r="Q21" s="24">
        <f>SUM(J19:J21)</f>
        <v>0</v>
      </c>
      <c r="R21">
        <f>N21*Q19+O21*Q20+P21*Q21</f>
        <v>0</v>
      </c>
    </row>
    <row r="22" spans="6:18" ht="10.5">
      <c r="F22" s="14"/>
      <c r="G22" s="14"/>
      <c r="H22" s="14"/>
      <c r="I22" s="14"/>
      <c r="J22" s="14"/>
      <c r="K22" s="14"/>
      <c r="L22" s="14"/>
      <c r="Q22" t="s">
        <v>374</v>
      </c>
      <c r="R22">
        <f>1/SQRT(1+R19^2+R20^2)</f>
        <v>1</v>
      </c>
    </row>
    <row r="23" spans="1:2" ht="10.5">
      <c r="A23" t="s">
        <v>311</v>
      </c>
      <c r="B23" t="s">
        <v>363</v>
      </c>
    </row>
    <row r="24" spans="1:18" ht="10.5">
      <c r="A24" t="str">
        <f>A18</f>
        <v>zReference</v>
      </c>
      <c r="B24" t="str">
        <f>B18</f>
        <v>x</v>
      </c>
      <c r="C24" t="str">
        <f>C18</f>
        <v>y</v>
      </c>
      <c r="D24" t="str">
        <f>D18</f>
        <v>z</v>
      </c>
      <c r="E24">
        <v>1</v>
      </c>
      <c r="F24" t="s">
        <v>364</v>
      </c>
      <c r="G24" t="s">
        <v>365</v>
      </c>
      <c r="H24" t="s">
        <v>366</v>
      </c>
      <c r="I24" t="s">
        <v>367</v>
      </c>
      <c r="J24" t="s">
        <v>368</v>
      </c>
      <c r="K24" t="s">
        <v>369</v>
      </c>
      <c r="N24" t="s">
        <v>370</v>
      </c>
      <c r="Q24" t="s">
        <v>371</v>
      </c>
      <c r="R24" t="s">
        <v>372</v>
      </c>
    </row>
    <row r="25" spans="1:18" ht="10.5">
      <c r="A25">
        <f>A19</f>
        <v>1</v>
      </c>
      <c r="B25" s="14">
        <f>StageFrame!E70</f>
        <v>-60</v>
      </c>
      <c r="C25" s="14">
        <f>StageFrame!F70</f>
        <v>-30</v>
      </c>
      <c r="D25" s="14">
        <f>StageFrame!G70</f>
        <v>0</v>
      </c>
      <c r="E25">
        <f>1</f>
        <v>1</v>
      </c>
      <c r="F25">
        <f aca="true" t="shared" si="1" ref="F25:G27">B25*B25</f>
        <v>3600</v>
      </c>
      <c r="G25">
        <f t="shared" si="1"/>
        <v>900</v>
      </c>
      <c r="H25">
        <f>B25*C25</f>
        <v>1800</v>
      </c>
      <c r="I25">
        <f>D25*B25</f>
        <v>0</v>
      </c>
      <c r="J25">
        <f>D25*C25</f>
        <v>0</v>
      </c>
      <c r="K25" s="15">
        <f>SUM(B25:B27)</f>
        <v>60</v>
      </c>
      <c r="L25" s="16">
        <f>SUM(C25:C27)</f>
        <v>-30</v>
      </c>
      <c r="M25" s="17">
        <f>SUM(E25:E27)</f>
        <v>3</v>
      </c>
      <c r="N25" s="15">
        <f>INDEX(MINVERSE(K25:M27),1,1)</f>
        <v>-0.004166666666666667</v>
      </c>
      <c r="O25" s="16">
        <f>INDEX(MINVERSE(K25:M27),1,2)</f>
        <v>0.0001388888888888889</v>
      </c>
      <c r="P25" s="17">
        <f>INDEX(MINVERSE(K25:M27),1,3)</f>
        <v>-0.0001388888888888889</v>
      </c>
      <c r="Q25" s="18">
        <f>SUM(D25:D27)</f>
        <v>0</v>
      </c>
      <c r="R25">
        <f>N25*Q25+O25*Q26+P25*Q27</f>
        <v>0</v>
      </c>
    </row>
    <row r="26" spans="1:18" ht="10.5">
      <c r="A26">
        <f>A20</f>
        <v>2</v>
      </c>
      <c r="B26" s="14">
        <f>StageFrame!E71</f>
        <v>60</v>
      </c>
      <c r="C26" s="14">
        <f>StageFrame!F71</f>
        <v>-30</v>
      </c>
      <c r="D26" s="14">
        <f>StageFrame!G71</f>
        <v>0</v>
      </c>
      <c r="E26">
        <f>1</f>
        <v>1</v>
      </c>
      <c r="F26">
        <f t="shared" si="1"/>
        <v>3600</v>
      </c>
      <c r="G26">
        <f t="shared" si="1"/>
        <v>900</v>
      </c>
      <c r="H26">
        <f>B26*C26</f>
        <v>-1800</v>
      </c>
      <c r="I26">
        <f>D26*B26</f>
        <v>0</v>
      </c>
      <c r="J26">
        <f>D26*C26</f>
        <v>0</v>
      </c>
      <c r="K26" s="19">
        <f>SUM(F25:F27)</f>
        <v>10800</v>
      </c>
      <c r="L26" s="14">
        <f>SUM(H25:H27)</f>
        <v>1800</v>
      </c>
      <c r="M26" s="20">
        <f>K25</f>
        <v>60</v>
      </c>
      <c r="N26" s="19">
        <f>INDEX(MINVERSE(K25:M27),2,1)</f>
        <v>0.008333333333333333</v>
      </c>
      <c r="O26" s="14">
        <f>INDEX(MINVERSE(K25:M27),2,2)</f>
        <v>-0.0001388888888888889</v>
      </c>
      <c r="P26" s="20">
        <f>INDEX(MINVERSE(K25:M27),2,3)</f>
        <v>0.0005555555555555556</v>
      </c>
      <c r="Q26" s="21">
        <f>SUM(I25:I27)</f>
        <v>0</v>
      </c>
      <c r="R26">
        <f>N26*Q25+O26*Q26+P26*Q27</f>
        <v>0</v>
      </c>
    </row>
    <row r="27" spans="1:18" ht="10.5">
      <c r="A27">
        <f>A21</f>
        <v>3</v>
      </c>
      <c r="B27" s="14">
        <f>StageFrame!E72</f>
        <v>60</v>
      </c>
      <c r="C27" s="14">
        <f>StageFrame!F72</f>
        <v>30</v>
      </c>
      <c r="D27" s="14">
        <f>StageFrame!G72</f>
        <v>0</v>
      </c>
      <c r="E27">
        <f>1</f>
        <v>1</v>
      </c>
      <c r="F27">
        <f t="shared" si="1"/>
        <v>3600</v>
      </c>
      <c r="G27">
        <f t="shared" si="1"/>
        <v>900</v>
      </c>
      <c r="H27">
        <f>B27*C27</f>
        <v>1800</v>
      </c>
      <c r="I27">
        <f>D27*B27</f>
        <v>0</v>
      </c>
      <c r="J27">
        <f>D27*C27</f>
        <v>0</v>
      </c>
      <c r="K27" s="22">
        <f>L26</f>
        <v>1800</v>
      </c>
      <c r="L27" s="3">
        <f>SUM(G25:G27)</f>
        <v>2700</v>
      </c>
      <c r="M27" s="23">
        <f>L25</f>
        <v>-30</v>
      </c>
      <c r="N27" s="22">
        <f>INDEX(MINVERSE(K25:M27),3,1)</f>
        <v>0.5</v>
      </c>
      <c r="O27" s="3">
        <f>INDEX(MINVERSE(K25:M27),3,2)</f>
        <v>-0.004166666666666667</v>
      </c>
      <c r="P27" s="23">
        <f>INDEX(MINVERSE(K25:M27),3,3)</f>
        <v>0.008333333333333333</v>
      </c>
      <c r="Q27" s="24">
        <f>SUM(J25:J27)</f>
        <v>0</v>
      </c>
      <c r="R27">
        <f>N27*Q25+O27*Q26+P27*Q27</f>
        <v>0</v>
      </c>
    </row>
    <row r="28" spans="6:18" ht="10.5">
      <c r="F28" s="14"/>
      <c r="G28" s="14"/>
      <c r="H28" s="14"/>
      <c r="I28" s="14"/>
      <c r="J28" s="14"/>
      <c r="K28" s="14"/>
      <c r="L28" s="14"/>
      <c r="Q28" t="s">
        <v>374</v>
      </c>
      <c r="R28">
        <f>1/SQRT(1+R25^2+R26^2)</f>
        <v>1</v>
      </c>
    </row>
    <row r="29" spans="6:12" ht="10.5">
      <c r="F29" s="14"/>
      <c r="G29" s="14"/>
      <c r="H29" s="14"/>
      <c r="I29" s="14"/>
      <c r="J29" s="14"/>
      <c r="K29" s="14"/>
      <c r="L29" s="14"/>
    </row>
    <row r="30" spans="6:12" ht="10.5">
      <c r="F30" s="14"/>
      <c r="G30" s="14"/>
      <c r="H30" s="14"/>
      <c r="I30" s="14"/>
      <c r="J30" s="14"/>
      <c r="K30" s="14"/>
      <c r="L30" s="14"/>
    </row>
    <row r="31" spans="1:12" ht="10.5">
      <c r="A31" t="s">
        <v>353</v>
      </c>
      <c r="F31" s="14"/>
      <c r="G31" s="14"/>
      <c r="H31" s="14"/>
      <c r="I31" s="14"/>
      <c r="J31" s="14"/>
      <c r="K31" s="14"/>
      <c r="L31" s="14"/>
    </row>
    <row r="32" spans="1:18" ht="10.5">
      <c r="A32" t="str">
        <f>GlobalFrame!A56</f>
        <v>Facings</v>
      </c>
      <c r="B32" t="str">
        <f>GlobalFrame!B56</f>
        <v>x</v>
      </c>
      <c r="C32" t="str">
        <f>GlobalFrame!C56</f>
        <v>y</v>
      </c>
      <c r="D32" t="str">
        <f>GlobalFrame!D56</f>
        <v>z</v>
      </c>
      <c r="E32">
        <v>1</v>
      </c>
      <c r="F32" t="s">
        <v>364</v>
      </c>
      <c r="G32" t="s">
        <v>365</v>
      </c>
      <c r="H32" t="s">
        <v>366</v>
      </c>
      <c r="I32" t="s">
        <v>367</v>
      </c>
      <c r="J32" t="s">
        <v>368</v>
      </c>
      <c r="K32" t="s">
        <v>369</v>
      </c>
      <c r="N32" t="s">
        <v>370</v>
      </c>
      <c r="Q32" t="s">
        <v>371</v>
      </c>
      <c r="R32" t="s">
        <v>372</v>
      </c>
    </row>
    <row r="33" spans="1:18" ht="10.5">
      <c r="A33" s="14">
        <f>GlobalFrame!A57</f>
        <v>1</v>
      </c>
      <c r="B33" s="14">
        <f>GlobalFrame!B57</f>
        <v>-6.500779753532772</v>
      </c>
      <c r="C33" s="14">
        <f>GlobalFrame!C57</f>
        <v>-37.00191386762457</v>
      </c>
      <c r="D33" s="14">
        <f>GlobalFrame!D57</f>
        <v>-0.9868206634754468</v>
      </c>
      <c r="E33">
        <f>1</f>
        <v>1</v>
      </c>
      <c r="F33">
        <f aca="true" t="shared" si="2" ref="F33:G35">B33*B33</f>
        <v>42.260137403941606</v>
      </c>
      <c r="G33">
        <f t="shared" si="2"/>
        <v>1369.1416298671077</v>
      </c>
      <c r="H33">
        <f>B33*C33</f>
        <v>240.54129251261733</v>
      </c>
      <c r="I33">
        <f>D33*B33</f>
        <v>6.4151037894889615</v>
      </c>
      <c r="J33">
        <f>D33*C33</f>
        <v>36.51425319271062</v>
      </c>
      <c r="K33" s="15">
        <f>SUM(B33:B35)</f>
        <v>31.997163750282528</v>
      </c>
      <c r="L33" s="16">
        <f>SUM(C33:C35)</f>
        <v>-38.73901821725019</v>
      </c>
      <c r="M33" s="17">
        <f>SUM(E33:E35)</f>
        <v>3</v>
      </c>
      <c r="N33" s="15">
        <f>INDEX(MINVERSE(K33:M35),1,1)</f>
        <v>-0.007723484728461345</v>
      </c>
      <c r="O33" s="16">
        <f>INDEX(MINVERSE(K33:M35),1,2)</f>
        <v>0.0009900862087775303</v>
      </c>
      <c r="P33" s="17">
        <f>INDEX(MINVERSE(K33:M35),1,3)</f>
        <v>0.00021966215860312648</v>
      </c>
      <c r="Q33" s="18">
        <f>SUM(D33:D35)</f>
        <v>-2.923819961966775</v>
      </c>
      <c r="R33">
        <f>N33*Q33+O33*Q34+P33*Q35</f>
        <v>0.0004955271382349989</v>
      </c>
    </row>
    <row r="34" spans="1:18" ht="10.5">
      <c r="A34" s="14">
        <f>GlobalFrame!A58</f>
        <v>2</v>
      </c>
      <c r="B34" s="14">
        <f>GlobalFrame!B58</f>
        <v>38.499165996394744</v>
      </c>
      <c r="C34" s="14">
        <f>GlobalFrame!C58</f>
        <v>-37.25181991674809</v>
      </c>
      <c r="D34" s="14">
        <f>GlobalFrame!D58</f>
        <v>-0.9645604323699466</v>
      </c>
      <c r="E34">
        <f>1</f>
        <v>1</v>
      </c>
      <c r="F34">
        <f t="shared" si="2"/>
        <v>1482.1857824179574</v>
      </c>
      <c r="G34">
        <f t="shared" si="2"/>
        <v>1387.6980871098297</v>
      </c>
      <c r="H34">
        <f>B34*C34</f>
        <v>-1434.1639986426885</v>
      </c>
      <c r="I34">
        <f>D34*B34</f>
        <v>-37.13477219936486</v>
      </c>
      <c r="J34">
        <f>D34*C34</f>
        <v>35.931631525465924</v>
      </c>
      <c r="K34" s="19">
        <f>SUM(F33:F35)</f>
        <v>1524.445921316387</v>
      </c>
      <c r="L34" s="14">
        <f>SUM(H33:H35)</f>
        <v>-1193.6661226063131</v>
      </c>
      <c r="M34" s="20">
        <f>K33</f>
        <v>31.997163750282528</v>
      </c>
      <c r="N34" s="19">
        <f>INDEX(MINVERSE(K33:M35),2,1)</f>
        <v>0.0019571150043773662</v>
      </c>
      <c r="O34" s="14">
        <f>INDEX(MINVERSE(K33:M35),2,2)</f>
        <v>0.0002196621586031265</v>
      </c>
      <c r="P34" s="20">
        <f>INDEX(MINVERSE(K33:M35),2,3)</f>
        <v>0.00033299530203252897</v>
      </c>
      <c r="Q34" s="21">
        <f>SUM(I33:I35)</f>
        <v>-30.718479610578107</v>
      </c>
      <c r="R34">
        <f>N34*Q33+O34*Q34+P34*Q35</f>
        <v>0.00015391077097417702</v>
      </c>
    </row>
    <row r="35" spans="1:18" ht="10.5">
      <c r="A35" s="14">
        <f>GlobalFrame!A59</f>
        <v>3</v>
      </c>
      <c r="B35" s="14">
        <f>GlobalFrame!B59</f>
        <v>-0.0012224925794426245</v>
      </c>
      <c r="C35" s="14">
        <f>GlobalFrame!C59</f>
        <v>35.514715567122465</v>
      </c>
      <c r="D35" s="14">
        <f>GlobalFrame!D59</f>
        <v>-0.9724388661213816</v>
      </c>
      <c r="E35">
        <f>1</f>
        <v>1</v>
      </c>
      <c r="F35">
        <f t="shared" si="2"/>
        <v>1.4944881067922815E-06</v>
      </c>
      <c r="G35">
        <f t="shared" si="2"/>
        <v>1261.2950218136107</v>
      </c>
      <c r="H35">
        <f>B35*C35</f>
        <v>-0.04341647624182267</v>
      </c>
      <c r="I35">
        <f>D35*B35</f>
        <v>0.001188799297794989</v>
      </c>
      <c r="J35">
        <f>D35*C35</f>
        <v>-34.53588973671595</v>
      </c>
      <c r="K35" s="22">
        <f>L34</f>
        <v>-1193.6661226063131</v>
      </c>
      <c r="L35" s="3">
        <f>SUM(G33:G35)</f>
        <v>4018.134738790548</v>
      </c>
      <c r="M35" s="23">
        <f>L33</f>
        <v>-38.73901821725019</v>
      </c>
      <c r="N35" s="22">
        <f>INDEX(MINVERSE(K33:M35),3,1)</f>
        <v>0.44098210646240416</v>
      </c>
      <c r="O35" s="3">
        <f>INDEX(MINVERSE(K33:M35),3,2)</f>
        <v>-0.007723484728461343</v>
      </c>
      <c r="P35" s="23">
        <f>INDEX(MINVERSE(K33:M35),3,3)</f>
        <v>0.0019571150043773662</v>
      </c>
      <c r="Q35" s="24">
        <f>SUM(J33:J35)</f>
        <v>37.90999498146059</v>
      </c>
      <c r="R35">
        <f>N35*Q33+O35*Q34+P35*Q35</f>
        <v>-0.9779043575969967</v>
      </c>
    </row>
    <row r="36" spans="6:18" ht="10.5">
      <c r="F36" s="14"/>
      <c r="G36" s="14"/>
      <c r="H36" s="14"/>
      <c r="I36" s="14"/>
      <c r="J36" s="14"/>
      <c r="K36" s="14"/>
      <c r="L36" s="14"/>
      <c r="Q36" t="s">
        <v>374</v>
      </c>
      <c r="R36">
        <f>1/SQRT(1+R33^2+R34^2)</f>
        <v>0.9999998653821921</v>
      </c>
    </row>
    <row r="37" spans="1:12" ht="10.5">
      <c r="A37" t="s">
        <v>405</v>
      </c>
      <c r="F37" s="14"/>
      <c r="G37" s="14"/>
      <c r="H37" s="14"/>
      <c r="I37" s="14"/>
      <c r="J37" s="14"/>
      <c r="K37" s="14"/>
      <c r="L37" s="14"/>
    </row>
    <row r="38" spans="1:18" ht="10.5">
      <c r="A38" t="str">
        <f>MidplaneThickness!A4</f>
        <v>LeftSensor</v>
      </c>
      <c r="B38" t="str">
        <f>MidplaneThickness!B4</f>
        <v>x</v>
      </c>
      <c r="C38" t="str">
        <f>MidplaneThickness!C4</f>
        <v>y</v>
      </c>
      <c r="D38" t="str">
        <f>MidplaneThickness!D4</f>
        <v>z</v>
      </c>
      <c r="E38">
        <v>1</v>
      </c>
      <c r="F38" t="s">
        <v>364</v>
      </c>
      <c r="G38" t="s">
        <v>365</v>
      </c>
      <c r="H38" t="s">
        <v>366</v>
      </c>
      <c r="I38" t="s">
        <v>367</v>
      </c>
      <c r="J38" t="s">
        <v>368</v>
      </c>
      <c r="K38" t="s">
        <v>369</v>
      </c>
      <c r="N38" t="s">
        <v>370</v>
      </c>
      <c r="Q38" t="s">
        <v>371</v>
      </c>
      <c r="R38" t="s">
        <v>372</v>
      </c>
    </row>
    <row r="39" spans="1:18" ht="10.5">
      <c r="A39" s="14">
        <f>MidplaneThickness!A5</f>
        <v>1</v>
      </c>
      <c r="B39" s="14">
        <f>MidplaneThickness!B5</f>
        <v>-60.9985</v>
      </c>
      <c r="C39" s="14">
        <f>MidplaneThickness!C5</f>
        <v>-30.7995</v>
      </c>
      <c r="D39" s="14">
        <f>MidplaneThickness!D5</f>
        <v>0.3955</v>
      </c>
      <c r="E39">
        <f>1</f>
        <v>1</v>
      </c>
      <c r="F39">
        <f aca="true" t="shared" si="3" ref="F39:G54">B39*B39</f>
        <v>3720.81700225</v>
      </c>
      <c r="G39">
        <f t="shared" si="3"/>
        <v>948.6092002499998</v>
      </c>
      <c r="H39">
        <f>B39*C39</f>
        <v>1878.72330075</v>
      </c>
      <c r="I39">
        <f>D39*B39</f>
        <v>-24.12490675</v>
      </c>
      <c r="J39">
        <f>D39*C39</f>
        <v>-12.18120225</v>
      </c>
      <c r="K39" s="15">
        <f>SUM(B39:B63)</f>
        <v>-804.9695</v>
      </c>
      <c r="L39" s="16">
        <f>SUM(C39:C63)</f>
        <v>0.0015000000000071623</v>
      </c>
      <c r="M39" s="17">
        <f>SUM(E39:E63)</f>
        <v>25</v>
      </c>
      <c r="N39" s="15">
        <f>INDEX(MINVERSE(K39:M41),1,1)</f>
        <v>0.003105600832998328</v>
      </c>
      <c r="O39" s="16">
        <f>INDEX(MINVERSE(K39:M41),1,2)</f>
        <v>9.645088518875064E-05</v>
      </c>
      <c r="P39" s="17">
        <f>INDEX(MINVERSE(K39:M41),1,3)</f>
        <v>-8.133215571495182E-12</v>
      </c>
      <c r="Q39" s="18">
        <f>SUM(D39:D63)</f>
        <v>10.6035</v>
      </c>
      <c r="R39">
        <f>N39*Q39+O39*Q40+P39*Q41</f>
        <v>0.0010930566398016277</v>
      </c>
    </row>
    <row r="40" spans="1:18" ht="10.5">
      <c r="A40" s="14">
        <f>MidplaneThickness!A6</f>
        <v>2</v>
      </c>
      <c r="B40" s="14">
        <f>MidplaneThickness!B6</f>
        <v>-46.599000000000004</v>
      </c>
      <c r="C40" s="14">
        <f>MidplaneThickness!C6</f>
        <v>-30.799999999999997</v>
      </c>
      <c r="D40" s="14">
        <f>MidplaneThickness!D6</f>
        <v>0.4115</v>
      </c>
      <c r="E40">
        <f>1</f>
        <v>1</v>
      </c>
      <c r="F40">
        <f t="shared" si="3"/>
        <v>2171.4668010000005</v>
      </c>
      <c r="G40">
        <f t="shared" si="3"/>
        <v>948.6399999999999</v>
      </c>
      <c r="H40">
        <f>B40*C40</f>
        <v>1435.2492</v>
      </c>
      <c r="I40">
        <f>D40*B40</f>
        <v>-19.1754885</v>
      </c>
      <c r="J40">
        <f>D40*C40</f>
        <v>-12.674199999999997</v>
      </c>
      <c r="K40" s="19">
        <f>SUM(F39:F63)</f>
        <v>36287.00703875001</v>
      </c>
      <c r="L40" s="14">
        <f>SUM(H39:H63)</f>
        <v>-0.04729824999881771</v>
      </c>
      <c r="M40" s="20">
        <f>K39</f>
        <v>-804.9695</v>
      </c>
      <c r="N40" s="19">
        <f>INDEX(MINVERSE(K39:M41),2,1)</f>
        <v>-5.3217810931428E-09</v>
      </c>
      <c r="O40" s="14">
        <f>INDEX(MINVERSE(K39:M41),2,2)</f>
        <v>-8.133215571495203E-12</v>
      </c>
      <c r="P40" s="20">
        <f>INDEX(MINVERSE(K39:M41),2,3)</f>
        <v>8.433169123732484E-05</v>
      </c>
      <c r="Q40" s="21">
        <f>SUM(I39:I63)</f>
        <v>-330.08698400000003</v>
      </c>
      <c r="R40">
        <f>N40*Q39+O40*Q40+P40*Q41</f>
        <v>-3.311807159617522E-05</v>
      </c>
    </row>
    <row r="41" spans="1:18" ht="10.5">
      <c r="A41" s="14">
        <f>MidplaneThickness!A7</f>
        <v>3</v>
      </c>
      <c r="B41" s="14">
        <f>MidplaneThickness!B7</f>
        <v>-32.199</v>
      </c>
      <c r="C41" s="14">
        <f>MidplaneThickness!C7</f>
        <v>-30.799999999999997</v>
      </c>
      <c r="D41" s="14">
        <f>MidplaneThickness!D7</f>
        <v>0.42749999999999994</v>
      </c>
      <c r="E41">
        <f>1</f>
        <v>1</v>
      </c>
      <c r="F41">
        <f t="shared" si="3"/>
        <v>1036.7756009999998</v>
      </c>
      <c r="G41">
        <f t="shared" si="3"/>
        <v>948.6399999999999</v>
      </c>
      <c r="H41">
        <f>B41*C41</f>
        <v>991.7291999999999</v>
      </c>
      <c r="I41">
        <f>D41*B41</f>
        <v>-13.765072499999997</v>
      </c>
      <c r="J41">
        <f>D41*C41</f>
        <v>-13.166999999999996</v>
      </c>
      <c r="K41" s="22">
        <f>L40</f>
        <v>-0.04729824999881771</v>
      </c>
      <c r="L41" s="3">
        <f>SUM(G39:G63)</f>
        <v>11857.938401749998</v>
      </c>
      <c r="M41" s="23">
        <f>L39</f>
        <v>0.0015000000000071623</v>
      </c>
      <c r="N41" s="22">
        <f>INDEX(MINVERSE(K39:M41),3,1)</f>
        <v>0.13999655798984922</v>
      </c>
      <c r="O41" s="3">
        <f>INDEX(MINVERSE(K39:M41),3,2)</f>
        <v>0.0031056008329983283</v>
      </c>
      <c r="P41" s="23">
        <f>INDEX(MINVERSE(K39:M41),3,3)</f>
        <v>-5.321781093142799E-09</v>
      </c>
      <c r="Q41" s="24">
        <f>SUM(J39:J63)</f>
        <v>-0.39207475000001146</v>
      </c>
      <c r="R41">
        <f>N41*Q39+O41*Q40+P41*Q41</f>
        <v>0.4593350922595962</v>
      </c>
    </row>
    <row r="42" spans="1:18" ht="10.5">
      <c r="A42">
        <f>MidplaneThickness!A8</f>
        <v>4</v>
      </c>
      <c r="B42">
        <f>MidplaneThickness!B8</f>
        <v>-17.799</v>
      </c>
      <c r="C42">
        <f>MidplaneThickness!C8</f>
        <v>-30.7995</v>
      </c>
      <c r="D42">
        <f>MidplaneThickness!D8</f>
        <v>0.44099999999999995</v>
      </c>
      <c r="E42">
        <f>1</f>
        <v>1</v>
      </c>
      <c r="F42">
        <f t="shared" si="3"/>
        <v>316.804401</v>
      </c>
      <c r="G42">
        <f t="shared" si="3"/>
        <v>948.6092002499998</v>
      </c>
      <c r="H42">
        <f aca="true" t="shared" si="4" ref="H42:H63">B42*C42</f>
        <v>548.2003004999999</v>
      </c>
      <c r="I42">
        <f aca="true" t="shared" si="5" ref="I42:I63">D42*B42</f>
        <v>-7.849358999999999</v>
      </c>
      <c r="J42">
        <f aca="true" t="shared" si="6" ref="J42:J63">D42*C42</f>
        <v>-13.582579499999998</v>
      </c>
      <c r="Q42" t="s">
        <v>374</v>
      </c>
      <c r="R42">
        <f>1/SQRT(1+R39^2+R40^2)</f>
        <v>0.9999994020657241</v>
      </c>
    </row>
    <row r="43" spans="1:10" ht="10.5">
      <c r="A43">
        <f>MidplaneThickness!A9</f>
        <v>5</v>
      </c>
      <c r="B43">
        <f>MidplaneThickness!B9</f>
        <v>-3.398500000000002</v>
      </c>
      <c r="C43">
        <f>MidplaneThickness!C9</f>
        <v>-30.799999999999997</v>
      </c>
      <c r="D43">
        <f>MidplaneThickness!D9</f>
        <v>0.45399999999999996</v>
      </c>
      <c r="E43">
        <f>1</f>
        <v>1</v>
      </c>
      <c r="F43">
        <f t="shared" si="3"/>
        <v>11.549802250000013</v>
      </c>
      <c r="G43">
        <f t="shared" si="3"/>
        <v>948.6399999999999</v>
      </c>
      <c r="H43">
        <f t="shared" si="4"/>
        <v>104.67380000000006</v>
      </c>
      <c r="I43">
        <f t="shared" si="5"/>
        <v>-1.5429190000000008</v>
      </c>
      <c r="J43">
        <f t="shared" si="6"/>
        <v>-13.983199999999998</v>
      </c>
    </row>
    <row r="44" spans="1:10" ht="10.5">
      <c r="A44">
        <f>MidplaneThickness!A10</f>
        <v>6</v>
      </c>
      <c r="B44">
        <f>MidplaneThickness!B10</f>
        <v>-60.9985</v>
      </c>
      <c r="C44">
        <f>MidplaneThickness!C10</f>
        <v>-15.399999999999999</v>
      </c>
      <c r="D44">
        <f>MidplaneThickness!D10</f>
        <v>0.39</v>
      </c>
      <c r="E44">
        <f>1</f>
        <v>1</v>
      </c>
      <c r="F44">
        <f t="shared" si="3"/>
        <v>3720.81700225</v>
      </c>
      <c r="G44">
        <f t="shared" si="3"/>
        <v>237.15999999999997</v>
      </c>
      <c r="H44">
        <f t="shared" si="4"/>
        <v>939.3768999999999</v>
      </c>
      <c r="I44">
        <f t="shared" si="5"/>
        <v>-23.789415</v>
      </c>
      <c r="J44">
        <f t="shared" si="6"/>
        <v>-6.005999999999999</v>
      </c>
    </row>
    <row r="45" spans="1:10" ht="10.5">
      <c r="A45">
        <f>MidplaneThickness!A11</f>
        <v>7</v>
      </c>
      <c r="B45">
        <f>MidplaneThickness!B11</f>
        <v>-46.5985</v>
      </c>
      <c r="C45">
        <f>MidplaneThickness!C11</f>
        <v>-15.399999999999999</v>
      </c>
      <c r="D45">
        <f>MidplaneThickness!D11</f>
        <v>0.41</v>
      </c>
      <c r="E45">
        <f>1</f>
        <v>1</v>
      </c>
      <c r="F45">
        <f t="shared" si="3"/>
        <v>2171.4202022500003</v>
      </c>
      <c r="G45">
        <f t="shared" si="3"/>
        <v>237.15999999999997</v>
      </c>
      <c r="H45">
        <f t="shared" si="4"/>
        <v>717.6169</v>
      </c>
      <c r="I45">
        <f t="shared" si="5"/>
        <v>-19.105385</v>
      </c>
      <c r="J45">
        <f t="shared" si="6"/>
        <v>-6.313999999999999</v>
      </c>
    </row>
    <row r="46" spans="1:10" ht="10.5">
      <c r="A46">
        <f>MidplaneThickness!A12</f>
        <v>8</v>
      </c>
      <c r="B46">
        <f>MidplaneThickness!B12</f>
        <v>-32.199</v>
      </c>
      <c r="C46">
        <f>MidplaneThickness!C12</f>
        <v>-15.399999999999999</v>
      </c>
      <c r="D46">
        <f>MidplaneThickness!D12</f>
        <v>0.4235</v>
      </c>
      <c r="E46">
        <f>1</f>
        <v>1</v>
      </c>
      <c r="F46">
        <f t="shared" si="3"/>
        <v>1036.7756009999998</v>
      </c>
      <c r="G46">
        <f t="shared" si="3"/>
        <v>237.15999999999997</v>
      </c>
      <c r="H46">
        <f t="shared" si="4"/>
        <v>495.86459999999994</v>
      </c>
      <c r="I46">
        <f t="shared" si="5"/>
        <v>-13.6362765</v>
      </c>
      <c r="J46">
        <f t="shared" si="6"/>
        <v>-6.5219</v>
      </c>
    </row>
    <row r="47" spans="1:10" ht="10.5">
      <c r="A47">
        <f>MidplaneThickness!A13</f>
        <v>9</v>
      </c>
      <c r="B47">
        <f>MidplaneThickness!B13</f>
        <v>-17.799</v>
      </c>
      <c r="C47">
        <f>MidplaneThickness!C13</f>
        <v>-15.399999999999999</v>
      </c>
      <c r="D47">
        <f>MidplaneThickness!D13</f>
        <v>0.439</v>
      </c>
      <c r="E47">
        <f>1</f>
        <v>1</v>
      </c>
      <c r="F47">
        <f t="shared" si="3"/>
        <v>316.804401</v>
      </c>
      <c r="G47">
        <f t="shared" si="3"/>
        <v>237.15999999999997</v>
      </c>
      <c r="H47">
        <f t="shared" si="4"/>
        <v>274.10459999999995</v>
      </c>
      <c r="I47">
        <f t="shared" si="5"/>
        <v>-7.8137609999999995</v>
      </c>
      <c r="J47">
        <f t="shared" si="6"/>
        <v>-6.760599999999999</v>
      </c>
    </row>
    <row r="48" spans="1:10" ht="10.5">
      <c r="A48">
        <f>MidplaneThickness!A14</f>
        <v>10</v>
      </c>
      <c r="B48">
        <f>MidplaneThickness!B14</f>
        <v>-3.398500000000002</v>
      </c>
      <c r="C48">
        <f>MidplaneThickness!C14</f>
        <v>-15.399999999999999</v>
      </c>
      <c r="D48">
        <f>MidplaneThickness!D14</f>
        <v>0.453</v>
      </c>
      <c r="E48">
        <f>1</f>
        <v>1</v>
      </c>
      <c r="F48">
        <f t="shared" si="3"/>
        <v>11.549802250000013</v>
      </c>
      <c r="G48">
        <f t="shared" si="3"/>
        <v>237.15999999999997</v>
      </c>
      <c r="H48">
        <f t="shared" si="4"/>
        <v>52.33690000000003</v>
      </c>
      <c r="I48">
        <f t="shared" si="5"/>
        <v>-1.539520500000001</v>
      </c>
      <c r="J48">
        <f t="shared" si="6"/>
        <v>-6.9761999999999995</v>
      </c>
    </row>
    <row r="49" spans="1:10" ht="10.5">
      <c r="A49">
        <f>MidplaneThickness!A15</f>
        <v>11</v>
      </c>
      <c r="B49">
        <f>MidplaneThickness!B15</f>
        <v>-60.998999999999995</v>
      </c>
      <c r="C49">
        <f>MidplaneThickness!C15</f>
        <v>0.0005000000000006111</v>
      </c>
      <c r="D49">
        <f>MidplaneThickness!D15</f>
        <v>0.3915</v>
      </c>
      <c r="E49">
        <f>1</f>
        <v>1</v>
      </c>
      <c r="F49">
        <f t="shared" si="3"/>
        <v>3720.8780009999996</v>
      </c>
      <c r="G49">
        <f t="shared" si="3"/>
        <v>2.5000000000061107E-07</v>
      </c>
      <c r="H49">
        <f t="shared" si="4"/>
        <v>-0.03049950000003727</v>
      </c>
      <c r="I49">
        <f t="shared" si="5"/>
        <v>-23.8811085</v>
      </c>
      <c r="J49">
        <f t="shared" si="6"/>
        <v>0.00019575000000023924</v>
      </c>
    </row>
    <row r="50" spans="1:10" ht="10.5">
      <c r="A50">
        <f>MidplaneThickness!A16</f>
        <v>12</v>
      </c>
      <c r="B50">
        <f>MidplaneThickness!B16</f>
        <v>-46.5985</v>
      </c>
      <c r="C50">
        <f>MidplaneThickness!C16</f>
        <v>0</v>
      </c>
      <c r="D50">
        <f>MidplaneThickness!D16</f>
        <v>0.4075</v>
      </c>
      <c r="E50">
        <f>1</f>
        <v>1</v>
      </c>
      <c r="F50">
        <f t="shared" si="3"/>
        <v>2171.4202022500003</v>
      </c>
      <c r="G50">
        <f t="shared" si="3"/>
        <v>0</v>
      </c>
      <c r="H50">
        <f t="shared" si="4"/>
        <v>0</v>
      </c>
      <c r="I50">
        <f t="shared" si="5"/>
        <v>-18.98888875</v>
      </c>
      <c r="J50">
        <f t="shared" si="6"/>
        <v>0</v>
      </c>
    </row>
    <row r="51" spans="1:10" ht="10.5">
      <c r="A51">
        <f>MidplaneThickness!A17</f>
        <v>13</v>
      </c>
      <c r="B51">
        <f>MidplaneThickness!B17</f>
        <v>-32.199</v>
      </c>
      <c r="C51">
        <f>MidplaneThickness!C17</f>
        <v>0</v>
      </c>
      <c r="D51">
        <f>MidplaneThickness!D17</f>
        <v>0.426</v>
      </c>
      <c r="E51">
        <f>1</f>
        <v>1</v>
      </c>
      <c r="F51">
        <f t="shared" si="3"/>
        <v>1036.7756009999998</v>
      </c>
      <c r="G51">
        <f t="shared" si="3"/>
        <v>0</v>
      </c>
      <c r="H51">
        <f t="shared" si="4"/>
        <v>0</v>
      </c>
      <c r="I51">
        <f t="shared" si="5"/>
        <v>-13.716774</v>
      </c>
      <c r="J51">
        <f t="shared" si="6"/>
        <v>0</v>
      </c>
    </row>
    <row r="52" spans="1:10" ht="10.5">
      <c r="A52">
        <f>MidplaneThickness!A18</f>
        <v>14</v>
      </c>
      <c r="B52">
        <f>MidplaneThickness!B18</f>
        <v>-17.799</v>
      </c>
      <c r="C52">
        <f>MidplaneThickness!C18</f>
        <v>0.0005000000000006111</v>
      </c>
      <c r="D52">
        <f>MidplaneThickness!D18</f>
        <v>0.4415</v>
      </c>
      <c r="E52">
        <f>1</f>
        <v>1</v>
      </c>
      <c r="F52">
        <f t="shared" si="3"/>
        <v>316.804401</v>
      </c>
      <c r="G52">
        <f t="shared" si="3"/>
        <v>2.5000000000061107E-07</v>
      </c>
      <c r="H52">
        <f t="shared" si="4"/>
        <v>-0.008899500000010876</v>
      </c>
      <c r="I52">
        <f t="shared" si="5"/>
        <v>-7.8582585</v>
      </c>
      <c r="J52">
        <f t="shared" si="6"/>
        <v>0.00022075000000026978</v>
      </c>
    </row>
    <row r="53" spans="1:10" ht="10.5">
      <c r="A53">
        <f>MidplaneThickness!A19</f>
        <v>15</v>
      </c>
      <c r="B53">
        <f>MidplaneThickness!B19</f>
        <v>-3.399000000000001</v>
      </c>
      <c r="C53">
        <f>MidplaneThickness!C19</f>
        <v>-0.0005000000000006111</v>
      </c>
      <c r="D53">
        <f>MidplaneThickness!D19</f>
        <v>0.45499999999999996</v>
      </c>
      <c r="E53">
        <f>1</f>
        <v>1</v>
      </c>
      <c r="F53">
        <f t="shared" si="3"/>
        <v>11.553201000000007</v>
      </c>
      <c r="G53">
        <f t="shared" si="3"/>
        <v>2.5000000000061107E-07</v>
      </c>
      <c r="H53">
        <f t="shared" si="4"/>
        <v>0.0016995000000020774</v>
      </c>
      <c r="I53">
        <f t="shared" si="5"/>
        <v>-1.5465450000000003</v>
      </c>
      <c r="J53">
        <f t="shared" si="6"/>
        <v>-0.00022750000000027802</v>
      </c>
    </row>
    <row r="54" spans="1:10" ht="10.5">
      <c r="A54">
        <f>MidplaneThickness!A20</f>
        <v>16</v>
      </c>
      <c r="B54">
        <f>MidplaneThickness!B20</f>
        <v>-60.998999999999995</v>
      </c>
      <c r="C54">
        <f>MidplaneThickness!C20</f>
        <v>15.399999999999999</v>
      </c>
      <c r="D54">
        <f>MidplaneThickness!D20</f>
        <v>0.3945</v>
      </c>
      <c r="E54">
        <f>1</f>
        <v>1</v>
      </c>
      <c r="F54">
        <f t="shared" si="3"/>
        <v>3720.8780009999996</v>
      </c>
      <c r="G54">
        <f t="shared" si="3"/>
        <v>237.15999999999997</v>
      </c>
      <c r="H54">
        <f t="shared" si="4"/>
        <v>-939.3845999999999</v>
      </c>
      <c r="I54">
        <f t="shared" si="5"/>
        <v>-24.0641055</v>
      </c>
      <c r="J54">
        <f t="shared" si="6"/>
        <v>6.0752999999999995</v>
      </c>
    </row>
    <row r="55" spans="1:10" ht="10.5">
      <c r="A55">
        <f>MidplaneThickness!A21</f>
        <v>17</v>
      </c>
      <c r="B55">
        <f>MidplaneThickness!B21</f>
        <v>-46.5985</v>
      </c>
      <c r="C55">
        <f>MidplaneThickness!C21</f>
        <v>15.399999999999999</v>
      </c>
      <c r="D55">
        <f>MidplaneThickness!D21</f>
        <v>0.4085</v>
      </c>
      <c r="E55">
        <f>1</f>
        <v>1</v>
      </c>
      <c r="F55">
        <f aca="true" t="shared" si="7" ref="F55:F63">B55*B55</f>
        <v>2171.4202022500003</v>
      </c>
      <c r="G55">
        <f aca="true" t="shared" si="8" ref="G55:G63">C55*C55</f>
        <v>237.15999999999997</v>
      </c>
      <c r="H55">
        <f t="shared" si="4"/>
        <v>-717.6169</v>
      </c>
      <c r="I55">
        <f t="shared" si="5"/>
        <v>-19.03548725</v>
      </c>
      <c r="J55">
        <f t="shared" si="6"/>
        <v>6.290899999999999</v>
      </c>
    </row>
    <row r="56" spans="1:10" ht="10.5">
      <c r="A56">
        <f>MidplaneThickness!A22</f>
        <v>18</v>
      </c>
      <c r="B56">
        <f>MidplaneThickness!B22</f>
        <v>-32.199</v>
      </c>
      <c r="C56">
        <f>MidplaneThickness!C22</f>
        <v>15.399999999999999</v>
      </c>
      <c r="D56">
        <f>MidplaneThickness!D22</f>
        <v>0.4265</v>
      </c>
      <c r="E56">
        <f>1</f>
        <v>1</v>
      </c>
      <c r="F56">
        <f t="shared" si="7"/>
        <v>1036.7756009999998</v>
      </c>
      <c r="G56">
        <f t="shared" si="8"/>
        <v>237.15999999999997</v>
      </c>
      <c r="H56">
        <f t="shared" si="4"/>
        <v>-495.86459999999994</v>
      </c>
      <c r="I56">
        <f t="shared" si="5"/>
        <v>-13.732873499999998</v>
      </c>
      <c r="J56">
        <f t="shared" si="6"/>
        <v>6.568099999999999</v>
      </c>
    </row>
    <row r="57" spans="1:10" ht="10.5">
      <c r="A57">
        <f>MidplaneThickness!A23</f>
        <v>19</v>
      </c>
      <c r="B57">
        <f>MidplaneThickness!B23</f>
        <v>-17.799</v>
      </c>
      <c r="C57">
        <f>MidplaneThickness!C23</f>
        <v>15.399999999999999</v>
      </c>
      <c r="D57">
        <f>MidplaneThickness!D23</f>
        <v>0.4445</v>
      </c>
      <c r="E57">
        <f>1</f>
        <v>1</v>
      </c>
      <c r="F57">
        <f t="shared" si="7"/>
        <v>316.804401</v>
      </c>
      <c r="G57">
        <f t="shared" si="8"/>
        <v>237.15999999999997</v>
      </c>
      <c r="H57">
        <f t="shared" si="4"/>
        <v>-274.10459999999995</v>
      </c>
      <c r="I57">
        <f t="shared" si="5"/>
        <v>-7.9116555</v>
      </c>
      <c r="J57">
        <f t="shared" si="6"/>
        <v>6.845299999999999</v>
      </c>
    </row>
    <row r="58" spans="1:10" ht="10.5">
      <c r="A58">
        <f>MidplaneThickness!A24</f>
        <v>20</v>
      </c>
      <c r="B58">
        <f>MidplaneThickness!B24</f>
        <v>-3.399000000000001</v>
      </c>
      <c r="C58">
        <f>MidplaneThickness!C24</f>
        <v>15.399999999999999</v>
      </c>
      <c r="D58">
        <f>MidplaneThickness!D24</f>
        <v>0.45099999999999996</v>
      </c>
      <c r="E58">
        <f>1</f>
        <v>1</v>
      </c>
      <c r="F58">
        <f t="shared" si="7"/>
        <v>11.553201000000007</v>
      </c>
      <c r="G58">
        <f t="shared" si="8"/>
        <v>237.15999999999997</v>
      </c>
      <c r="H58">
        <f t="shared" si="4"/>
        <v>-52.34460000000001</v>
      </c>
      <c r="I58">
        <f t="shared" si="5"/>
        <v>-1.5329490000000003</v>
      </c>
      <c r="J58">
        <f t="shared" si="6"/>
        <v>6.9453999999999985</v>
      </c>
    </row>
    <row r="59" spans="1:10" ht="10.5">
      <c r="A59">
        <f>MidplaneThickness!A25</f>
        <v>21</v>
      </c>
      <c r="B59">
        <f>MidplaneThickness!B25</f>
        <v>-60.9985</v>
      </c>
      <c r="C59">
        <f>MidplaneThickness!C25</f>
        <v>30.7995</v>
      </c>
      <c r="D59">
        <f>MidplaneThickness!D25</f>
        <v>0.3865</v>
      </c>
      <c r="E59">
        <f>1</f>
        <v>1</v>
      </c>
      <c r="F59">
        <f t="shared" si="7"/>
        <v>3720.81700225</v>
      </c>
      <c r="G59">
        <f t="shared" si="8"/>
        <v>948.6092002499998</v>
      </c>
      <c r="H59">
        <f t="shared" si="4"/>
        <v>-1878.72330075</v>
      </c>
      <c r="I59">
        <f t="shared" si="5"/>
        <v>-23.57592025</v>
      </c>
      <c r="J59">
        <f t="shared" si="6"/>
        <v>11.904006749999999</v>
      </c>
    </row>
    <row r="60" spans="1:10" ht="10.5">
      <c r="A60">
        <f>MidplaneThickness!A26</f>
        <v>22</v>
      </c>
      <c r="B60">
        <f>MidplaneThickness!B26</f>
        <v>-46.599000000000004</v>
      </c>
      <c r="C60">
        <f>MidplaneThickness!C26</f>
        <v>30.799999999999997</v>
      </c>
      <c r="D60">
        <f>MidplaneThickness!D26</f>
        <v>0.40549999999999997</v>
      </c>
      <c r="E60">
        <f>1</f>
        <v>1</v>
      </c>
      <c r="F60">
        <f t="shared" si="7"/>
        <v>2171.4668010000005</v>
      </c>
      <c r="G60">
        <f t="shared" si="8"/>
        <v>948.6399999999999</v>
      </c>
      <c r="H60">
        <f t="shared" si="4"/>
        <v>-1435.2492</v>
      </c>
      <c r="I60">
        <f t="shared" si="5"/>
        <v>-18.8958945</v>
      </c>
      <c r="J60">
        <f t="shared" si="6"/>
        <v>12.489399999999998</v>
      </c>
    </row>
    <row r="61" spans="1:10" ht="10.5">
      <c r="A61">
        <f>MidplaneThickness!A27</f>
        <v>23</v>
      </c>
      <c r="B61">
        <f>MidplaneThickness!B27</f>
        <v>-32.198499999999996</v>
      </c>
      <c r="C61">
        <f>MidplaneThickness!C27</f>
        <v>30.8005</v>
      </c>
      <c r="D61">
        <f>MidplaneThickness!D27</f>
        <v>0.4225</v>
      </c>
      <c r="E61">
        <f>1</f>
        <v>1</v>
      </c>
      <c r="F61">
        <f t="shared" si="7"/>
        <v>1036.7434022499997</v>
      </c>
      <c r="G61">
        <f t="shared" si="8"/>
        <v>948.67080025</v>
      </c>
      <c r="H61">
        <f t="shared" si="4"/>
        <v>-991.7298992499999</v>
      </c>
      <c r="I61">
        <f t="shared" si="5"/>
        <v>-13.603866249999998</v>
      </c>
      <c r="J61">
        <f t="shared" si="6"/>
        <v>13.01321125</v>
      </c>
    </row>
    <row r="62" spans="1:10" ht="10.5">
      <c r="A62">
        <f>MidplaneThickness!A28</f>
        <v>24</v>
      </c>
      <c r="B62">
        <f>MidplaneThickness!B28</f>
        <v>-17.7985</v>
      </c>
      <c r="C62">
        <f>MidplaneThickness!C28</f>
        <v>30.799999999999997</v>
      </c>
      <c r="D62">
        <f>MidplaneThickness!D28</f>
        <v>0.44099999999999995</v>
      </c>
      <c r="E62">
        <f>1</f>
        <v>1</v>
      </c>
      <c r="F62">
        <f t="shared" si="7"/>
        <v>316.78660225000004</v>
      </c>
      <c r="G62">
        <f t="shared" si="8"/>
        <v>948.6399999999999</v>
      </c>
      <c r="H62">
        <f t="shared" si="4"/>
        <v>-548.1938</v>
      </c>
      <c r="I62">
        <f t="shared" si="5"/>
        <v>-7.8491385</v>
      </c>
      <c r="J62">
        <f t="shared" si="6"/>
        <v>13.582799999999997</v>
      </c>
    </row>
    <row r="63" spans="1:10" ht="10.5">
      <c r="A63">
        <f>MidplaneThickness!A29</f>
        <v>25</v>
      </c>
      <c r="B63">
        <f>MidplaneThickness!B29</f>
        <v>-3.398500000000002</v>
      </c>
      <c r="C63">
        <f>MidplaneThickness!C29</f>
        <v>30.799999999999997</v>
      </c>
      <c r="D63">
        <f>MidplaneThickness!D29</f>
        <v>0.45649999999999996</v>
      </c>
      <c r="E63">
        <f>1</f>
        <v>1</v>
      </c>
      <c r="F63">
        <f t="shared" si="7"/>
        <v>11.549802250000013</v>
      </c>
      <c r="G63">
        <f t="shared" si="8"/>
        <v>948.6399999999999</v>
      </c>
      <c r="H63">
        <f t="shared" si="4"/>
        <v>-104.67380000000006</v>
      </c>
      <c r="I63">
        <f t="shared" si="5"/>
        <v>-1.551415250000001</v>
      </c>
      <c r="J63">
        <f t="shared" si="6"/>
        <v>14.060199999999998</v>
      </c>
    </row>
    <row r="65" ht="10.5">
      <c r="A65" t="s">
        <v>406</v>
      </c>
    </row>
    <row r="66" spans="1:18" ht="10.5">
      <c r="A66" t="str">
        <f>MidplaneThickness!A30</f>
        <v>RightSensor</v>
      </c>
      <c r="B66" t="str">
        <f>MidplaneThickness!B30</f>
        <v>x</v>
      </c>
      <c r="C66" t="str">
        <f>MidplaneThickness!C30</f>
        <v>y</v>
      </c>
      <c r="D66" t="str">
        <f>MidplaneThickness!D30</f>
        <v>z</v>
      </c>
      <c r="E66">
        <v>1</v>
      </c>
      <c r="F66" t="s">
        <v>364</v>
      </c>
      <c r="G66" t="s">
        <v>365</v>
      </c>
      <c r="H66" t="s">
        <v>366</v>
      </c>
      <c r="I66" t="s">
        <v>367</v>
      </c>
      <c r="J66" t="s">
        <v>368</v>
      </c>
      <c r="K66" t="s">
        <v>369</v>
      </c>
      <c r="N66" t="s">
        <v>370</v>
      </c>
      <c r="Q66" t="s">
        <v>371</v>
      </c>
      <c r="R66" t="s">
        <v>372</v>
      </c>
    </row>
    <row r="67" spans="1:18" ht="10.5">
      <c r="A67" s="14">
        <f>MidplaneThickness!A31</f>
        <v>1</v>
      </c>
      <c r="B67" s="14">
        <f>MidplaneThickness!B31</f>
        <v>2.1019999999999968</v>
      </c>
      <c r="C67" s="14">
        <f>MidplaneThickness!C31</f>
        <v>-30.7995</v>
      </c>
      <c r="D67" s="14">
        <f>MidplaneThickness!D31</f>
        <v>0.461</v>
      </c>
      <c r="E67">
        <f>1</f>
        <v>1</v>
      </c>
      <c r="F67">
        <f aca="true" t="shared" si="9" ref="F67:G91">B67*B67</f>
        <v>4.4184039999999865</v>
      </c>
      <c r="G67">
        <f t="shared" si="9"/>
        <v>948.6092002499998</v>
      </c>
      <c r="H67">
        <f>B67*C67</f>
        <v>-64.7405489999999</v>
      </c>
      <c r="I67">
        <f>D67*B67</f>
        <v>0.9690219999999985</v>
      </c>
      <c r="J67">
        <f>D67*C67</f>
        <v>-14.1985695</v>
      </c>
      <c r="K67" s="15">
        <f>SUM(B67:B91)</f>
        <v>789.7597499999997</v>
      </c>
      <c r="L67" s="16">
        <f>SUM(C67:C91)</f>
        <v>0.01975000000003746</v>
      </c>
      <c r="M67" s="17">
        <f>SUM(E67:E91)</f>
        <v>25</v>
      </c>
      <c r="N67" s="15">
        <f>INDEX(MINVERSE(K67:M69),1,1)</f>
        <v>-0.002945255781407589</v>
      </c>
      <c r="O67" s="16">
        <f>INDEX(MINVERSE(K67:M69),1,2)</f>
        <v>9.323265023898689E-05</v>
      </c>
      <c r="P67" s="17">
        <f>INDEX(MINVERSE(K67:M69),1,3)</f>
        <v>-4.754417223217849E-10</v>
      </c>
      <c r="Q67" s="18">
        <f>SUM(D67:D91)</f>
        <v>11.39825</v>
      </c>
      <c r="R67">
        <f>N67*Q67+O67*Q68+P67*Q69</f>
        <v>-8.449636735478168E-05</v>
      </c>
    </row>
    <row r="68" spans="1:18" ht="10.5">
      <c r="A68" s="14">
        <f>MidplaneThickness!A32</f>
        <v>2</v>
      </c>
      <c r="B68" s="14">
        <f>MidplaneThickness!B32</f>
        <v>16.99375</v>
      </c>
      <c r="C68" s="14">
        <f>MidplaneThickness!C32</f>
        <v>-30.79925</v>
      </c>
      <c r="D68" s="14">
        <f>MidplaneThickness!D32</f>
        <v>0.46199999999999997</v>
      </c>
      <c r="E68">
        <f>1</f>
        <v>1</v>
      </c>
      <c r="F68">
        <f t="shared" si="9"/>
        <v>288.78753906249995</v>
      </c>
      <c r="G68">
        <f t="shared" si="9"/>
        <v>948.5938005625001</v>
      </c>
      <c r="H68">
        <f>B68*C68</f>
        <v>-523.3947546874999</v>
      </c>
      <c r="I68">
        <f>D68*B68</f>
        <v>7.851112499999998</v>
      </c>
      <c r="J68">
        <f>D68*C68</f>
        <v>-14.229253499999999</v>
      </c>
      <c r="K68" s="19">
        <f>SUM(F67:F91)</f>
        <v>35674.6747133125</v>
      </c>
      <c r="L68" s="14">
        <f>SUM(H67:H91)</f>
        <v>0.6843801874986184</v>
      </c>
      <c r="M68" s="20">
        <f>K67</f>
        <v>789.7597499999997</v>
      </c>
      <c r="N68" s="19">
        <f>INDEX(MINVERSE(K67:M69),2,1)</f>
        <v>-5.1602430345203585E-08</v>
      </c>
      <c r="O68" s="14">
        <f>INDEX(MINVERSE(K67:M69),2,2)</f>
        <v>-4.754417223217852E-10</v>
      </c>
      <c r="P68" s="20">
        <f>INDEX(MINVERSE(K67:M69),2,3)</f>
        <v>8.433141743733431E-05</v>
      </c>
      <c r="Q68" s="21">
        <f>SUM(I67:I91)</f>
        <v>359.1688583124999</v>
      </c>
      <c r="R68">
        <f>N68*Q67+O68*Q68+P68*Q69</f>
        <v>-0.00014253268260420074</v>
      </c>
    </row>
    <row r="69" spans="1:18" ht="10.5">
      <c r="A69" s="14">
        <f>MidplaneThickness!A33</f>
        <v>3</v>
      </c>
      <c r="B69" s="14">
        <f>MidplaneThickness!B33</f>
        <v>31.8855</v>
      </c>
      <c r="C69" s="14">
        <f>MidplaneThickness!C33</f>
        <v>-30.799</v>
      </c>
      <c r="D69" s="14">
        <f>MidplaneThickness!D33</f>
        <v>0.46299999999999997</v>
      </c>
      <c r="E69">
        <f>1</f>
        <v>1</v>
      </c>
      <c r="F69">
        <f t="shared" si="9"/>
        <v>1016.68511025</v>
      </c>
      <c r="G69">
        <f t="shared" si="9"/>
        <v>948.578401</v>
      </c>
      <c r="H69">
        <f>B69*C69</f>
        <v>-982.0415145</v>
      </c>
      <c r="I69">
        <f>D69*B69</f>
        <v>14.762986499999998</v>
      </c>
      <c r="J69">
        <f>D69*C69</f>
        <v>-14.259936999999999</v>
      </c>
      <c r="K69" s="22">
        <f>L68</f>
        <v>0.6843801874986184</v>
      </c>
      <c r="L69" s="3">
        <f>SUM(G67:G91)</f>
        <v>11857.9769169375</v>
      </c>
      <c r="M69" s="23">
        <f>L67</f>
        <v>0.01975000000003746</v>
      </c>
      <c r="N69" s="22">
        <f>INDEX(MINVERSE(K67:M69),3,1)</f>
        <v>0.1330417788251864</v>
      </c>
      <c r="O69" s="3">
        <f>INDEX(MINVERSE(K67:M69),3,2)</f>
        <v>-0.002945255781407589</v>
      </c>
      <c r="P69" s="23">
        <f>INDEX(MINVERSE(K67:M69),3,3)</f>
        <v>-5.1602430345203585E-08</v>
      </c>
      <c r="Q69" s="24">
        <f>SUM(J67:J91)</f>
        <v>-1.6811497499999746</v>
      </c>
      <c r="R69">
        <f>N69*Q67+O69*Q68+P69*Q69</f>
        <v>0.4585993857991401</v>
      </c>
    </row>
    <row r="70" spans="1:18" ht="10.5">
      <c r="A70">
        <f>MidplaneThickness!A34</f>
        <v>4</v>
      </c>
      <c r="B70">
        <f>MidplaneThickness!B34</f>
        <v>46.2855</v>
      </c>
      <c r="C70">
        <f>MidplaneThickness!C34</f>
        <v>-30.799</v>
      </c>
      <c r="D70">
        <f>MidplaneThickness!D34</f>
        <v>0.46399999999999997</v>
      </c>
      <c r="E70">
        <f>1</f>
        <v>1</v>
      </c>
      <c r="F70">
        <f t="shared" si="9"/>
        <v>2142.3475102499997</v>
      </c>
      <c r="G70">
        <f t="shared" si="9"/>
        <v>948.578401</v>
      </c>
      <c r="H70">
        <f aca="true" t="shared" si="10" ref="H70:H91">B70*C70</f>
        <v>-1425.5471145</v>
      </c>
      <c r="I70">
        <f aca="true" t="shared" si="11" ref="I70:I91">D70*B70</f>
        <v>21.476471999999998</v>
      </c>
      <c r="J70">
        <f aca="true" t="shared" si="12" ref="J70:J91">D70*C70</f>
        <v>-14.290735999999999</v>
      </c>
      <c r="Q70" t="s">
        <v>374</v>
      </c>
      <c r="R70">
        <f>1/SQRT(1+R67^2+R68^2)</f>
        <v>0.9999999862723994</v>
      </c>
    </row>
    <row r="71" spans="1:10" ht="10.5">
      <c r="A71">
        <f>MidplaneThickness!A35</f>
        <v>5</v>
      </c>
      <c r="B71">
        <f>MidplaneThickness!B35</f>
        <v>60.6855</v>
      </c>
      <c r="C71">
        <f>MidplaneThickness!C35</f>
        <v>-30.799</v>
      </c>
      <c r="D71">
        <f>MidplaneThickness!D35</f>
        <v>0.4635</v>
      </c>
      <c r="E71">
        <f>1</f>
        <v>1</v>
      </c>
      <c r="F71">
        <f t="shared" si="9"/>
        <v>3682.7299102499996</v>
      </c>
      <c r="G71">
        <f t="shared" si="9"/>
        <v>948.578401</v>
      </c>
      <c r="H71">
        <f t="shared" si="10"/>
        <v>-1869.0527144999999</v>
      </c>
      <c r="I71">
        <f t="shared" si="11"/>
        <v>28.12772925</v>
      </c>
      <c r="J71">
        <f t="shared" si="12"/>
        <v>-14.2753365</v>
      </c>
    </row>
    <row r="72" spans="1:10" ht="10.5">
      <c r="A72">
        <f>MidplaneThickness!A36</f>
        <v>6</v>
      </c>
      <c r="B72">
        <f>MidplaneThickness!B36</f>
        <v>2.1019999999999968</v>
      </c>
      <c r="C72">
        <f>MidplaneThickness!C36</f>
        <v>-15.3995</v>
      </c>
      <c r="D72">
        <f>MidplaneThickness!D36</f>
        <v>0.45899999999999996</v>
      </c>
      <c r="E72">
        <f>1</f>
        <v>1</v>
      </c>
      <c r="F72">
        <f t="shared" si="9"/>
        <v>4.4184039999999865</v>
      </c>
      <c r="G72">
        <f t="shared" si="9"/>
        <v>237.14460025</v>
      </c>
      <c r="H72">
        <f t="shared" si="10"/>
        <v>-32.36974899999995</v>
      </c>
      <c r="I72">
        <f t="shared" si="11"/>
        <v>0.9648179999999984</v>
      </c>
      <c r="J72">
        <f t="shared" si="12"/>
        <v>-7.0683704999999994</v>
      </c>
    </row>
    <row r="73" spans="1:10" ht="10.5">
      <c r="A73">
        <f>MidplaneThickness!A37</f>
        <v>7</v>
      </c>
      <c r="B73">
        <f>MidplaneThickness!B37</f>
        <v>16.99375</v>
      </c>
      <c r="C73">
        <f>MidplaneThickness!C37</f>
        <v>-15.3995</v>
      </c>
      <c r="D73">
        <f>MidplaneThickness!D37</f>
        <v>0.45674999999999993</v>
      </c>
      <c r="E73">
        <f>1</f>
        <v>1</v>
      </c>
      <c r="F73">
        <f t="shared" si="9"/>
        <v>288.78753906249995</v>
      </c>
      <c r="G73">
        <f t="shared" si="9"/>
        <v>237.14460025</v>
      </c>
      <c r="H73">
        <f t="shared" si="10"/>
        <v>-261.69525312499997</v>
      </c>
      <c r="I73">
        <f t="shared" si="11"/>
        <v>7.761895312499998</v>
      </c>
      <c r="J73">
        <f t="shared" si="12"/>
        <v>-7.033721624999999</v>
      </c>
    </row>
    <row r="74" spans="1:10" ht="10.5">
      <c r="A74">
        <f>MidplaneThickness!A38</f>
        <v>8</v>
      </c>
      <c r="B74">
        <f>MidplaneThickness!B38</f>
        <v>31.8855</v>
      </c>
      <c r="C74">
        <f>MidplaneThickness!C38</f>
        <v>-15.3995</v>
      </c>
      <c r="D74">
        <f>MidplaneThickness!D38</f>
        <v>0.45449999999999996</v>
      </c>
      <c r="E74">
        <f>1</f>
        <v>1</v>
      </c>
      <c r="F74">
        <f t="shared" si="9"/>
        <v>1016.68511025</v>
      </c>
      <c r="G74">
        <f t="shared" si="9"/>
        <v>237.14460025</v>
      </c>
      <c r="H74">
        <f t="shared" si="10"/>
        <v>-491.02075725</v>
      </c>
      <c r="I74">
        <f t="shared" si="11"/>
        <v>14.49195975</v>
      </c>
      <c r="J74">
        <f t="shared" si="12"/>
        <v>-6.999072749999999</v>
      </c>
    </row>
    <row r="75" spans="1:10" ht="10.5">
      <c r="A75">
        <f>MidplaneThickness!A39</f>
        <v>9</v>
      </c>
      <c r="B75">
        <f>MidplaneThickness!B39</f>
        <v>46.2855</v>
      </c>
      <c r="C75">
        <f>MidplaneThickness!C39</f>
        <v>-15.398999999999997</v>
      </c>
      <c r="D75">
        <f>MidplaneThickness!D39</f>
        <v>0.4525</v>
      </c>
      <c r="E75">
        <f>1</f>
        <v>1</v>
      </c>
      <c r="F75">
        <f t="shared" si="9"/>
        <v>2142.3475102499997</v>
      </c>
      <c r="G75">
        <f t="shared" si="9"/>
        <v>237.1292009999999</v>
      </c>
      <c r="H75">
        <f t="shared" si="10"/>
        <v>-712.7504144999998</v>
      </c>
      <c r="I75">
        <f t="shared" si="11"/>
        <v>20.94418875</v>
      </c>
      <c r="J75">
        <f t="shared" si="12"/>
        <v>-6.968047499999999</v>
      </c>
    </row>
    <row r="76" spans="1:10" ht="10.5">
      <c r="A76">
        <f>MidplaneThickness!A40</f>
        <v>10</v>
      </c>
      <c r="B76">
        <f>MidplaneThickness!B40</f>
        <v>60.6855</v>
      </c>
      <c r="C76">
        <f>MidplaneThickness!C40</f>
        <v>-15.398999999999997</v>
      </c>
      <c r="D76">
        <f>MidplaneThickness!D40</f>
        <v>0.4515</v>
      </c>
      <c r="E76">
        <f>1</f>
        <v>1</v>
      </c>
      <c r="F76">
        <f t="shared" si="9"/>
        <v>3682.7299102499996</v>
      </c>
      <c r="G76">
        <f t="shared" si="9"/>
        <v>237.1292009999999</v>
      </c>
      <c r="H76">
        <f t="shared" si="10"/>
        <v>-934.4960144999998</v>
      </c>
      <c r="I76">
        <f t="shared" si="11"/>
        <v>27.39950325</v>
      </c>
      <c r="J76">
        <f t="shared" si="12"/>
        <v>-6.952648499999999</v>
      </c>
    </row>
    <row r="77" spans="1:10" ht="10.5">
      <c r="A77">
        <f>MidplaneThickness!A41</f>
        <v>11</v>
      </c>
      <c r="B77">
        <f>MidplaneThickness!B41</f>
        <v>2.1019999999999968</v>
      </c>
      <c r="C77">
        <f>MidplaneThickness!C41</f>
        <v>0.0005000000000006111</v>
      </c>
      <c r="D77">
        <f>MidplaneThickness!D41</f>
        <v>0.457</v>
      </c>
      <c r="E77">
        <f>1</f>
        <v>1</v>
      </c>
      <c r="F77">
        <f t="shared" si="9"/>
        <v>4.4184039999999865</v>
      </c>
      <c r="G77">
        <f t="shared" si="9"/>
        <v>2.5000000000061107E-07</v>
      </c>
      <c r="H77">
        <f t="shared" si="10"/>
        <v>0.001051000000001283</v>
      </c>
      <c r="I77">
        <f t="shared" si="11"/>
        <v>0.9606139999999985</v>
      </c>
      <c r="J77">
        <f t="shared" si="12"/>
        <v>0.00022850000000027926</v>
      </c>
    </row>
    <row r="78" spans="1:10" ht="10.5">
      <c r="A78">
        <f>MidplaneThickness!A42</f>
        <v>12</v>
      </c>
      <c r="B78">
        <f>MidplaneThickness!B42</f>
        <v>16.99375</v>
      </c>
      <c r="C78">
        <f>MidplaneThickness!C42</f>
        <v>0.0007500000000000284</v>
      </c>
      <c r="D78">
        <f>MidplaneThickness!D42</f>
        <v>0.4565</v>
      </c>
      <c r="E78">
        <f>1</f>
        <v>1</v>
      </c>
      <c r="F78">
        <f t="shared" si="9"/>
        <v>288.78753906249995</v>
      </c>
      <c r="G78">
        <f t="shared" si="9"/>
        <v>5.625000000000427E-07</v>
      </c>
      <c r="H78">
        <f t="shared" si="10"/>
        <v>0.012745312500000482</v>
      </c>
      <c r="I78">
        <f t="shared" si="11"/>
        <v>7.757646875</v>
      </c>
      <c r="J78">
        <f t="shared" si="12"/>
        <v>0.00034237500000001297</v>
      </c>
    </row>
    <row r="79" spans="1:10" ht="10.5">
      <c r="A79">
        <f>MidplaneThickness!A43</f>
        <v>13</v>
      </c>
      <c r="B79">
        <f>MidplaneThickness!B43</f>
        <v>31.8855</v>
      </c>
      <c r="C79">
        <f>MidplaneThickness!C43</f>
        <v>0.0009999999999994458</v>
      </c>
      <c r="D79">
        <f>MidplaneThickness!D43</f>
        <v>0.456</v>
      </c>
      <c r="E79">
        <f>1</f>
        <v>1</v>
      </c>
      <c r="F79">
        <f t="shared" si="9"/>
        <v>1016.68511025</v>
      </c>
      <c r="G79">
        <f t="shared" si="9"/>
        <v>9.999999999988916E-07</v>
      </c>
      <c r="H79">
        <f t="shared" si="10"/>
        <v>0.03188549999998233</v>
      </c>
      <c r="I79">
        <f t="shared" si="11"/>
        <v>14.539788000000001</v>
      </c>
      <c r="J79">
        <f t="shared" si="12"/>
        <v>0.0004559999999997473</v>
      </c>
    </row>
    <row r="80" spans="1:10" ht="10.5">
      <c r="A80">
        <f>MidplaneThickness!A44</f>
        <v>14</v>
      </c>
      <c r="B80">
        <f>MidplaneThickness!B44</f>
        <v>46.2855</v>
      </c>
      <c r="C80">
        <f>MidplaneThickness!C44</f>
        <v>0.0009999999999994458</v>
      </c>
      <c r="D80">
        <f>MidplaneThickness!D44</f>
        <v>0.4525</v>
      </c>
      <c r="E80">
        <f>1</f>
        <v>1</v>
      </c>
      <c r="F80">
        <f t="shared" si="9"/>
        <v>2142.3475102499997</v>
      </c>
      <c r="G80">
        <f t="shared" si="9"/>
        <v>9.999999999988916E-07</v>
      </c>
      <c r="H80">
        <f t="shared" si="10"/>
        <v>0.04628549999997435</v>
      </c>
      <c r="I80">
        <f t="shared" si="11"/>
        <v>20.94418875</v>
      </c>
      <c r="J80">
        <f t="shared" si="12"/>
        <v>0.0004524999999997492</v>
      </c>
    </row>
    <row r="81" spans="1:10" ht="10.5">
      <c r="A81">
        <f>MidplaneThickness!A45</f>
        <v>15</v>
      </c>
      <c r="B81">
        <f>MidplaneThickness!B45</f>
        <v>60.6855</v>
      </c>
      <c r="C81">
        <f>MidplaneThickness!C45</f>
        <v>0.0009999999999994458</v>
      </c>
      <c r="D81">
        <f>MidplaneThickness!D45</f>
        <v>0.452</v>
      </c>
      <c r="E81">
        <f>1</f>
        <v>1</v>
      </c>
      <c r="F81">
        <f t="shared" si="9"/>
        <v>3682.7299102499996</v>
      </c>
      <c r="G81">
        <f t="shared" si="9"/>
        <v>9.999999999988916E-07</v>
      </c>
      <c r="H81">
        <f t="shared" si="10"/>
        <v>0.060685499999966364</v>
      </c>
      <c r="I81">
        <f t="shared" si="11"/>
        <v>27.429846</v>
      </c>
      <c r="J81">
        <f t="shared" si="12"/>
        <v>0.0004519999999997495</v>
      </c>
    </row>
    <row r="82" spans="1:10" ht="10.5">
      <c r="A82">
        <f>MidplaneThickness!A46</f>
        <v>16</v>
      </c>
      <c r="B82">
        <f>MidplaneThickness!B46</f>
        <v>2.1019999999999968</v>
      </c>
      <c r="C82">
        <f>MidplaneThickness!C46</f>
        <v>15.400500000000001</v>
      </c>
      <c r="D82">
        <f>MidplaneThickness!D46</f>
        <v>0.4595</v>
      </c>
      <c r="E82">
        <f>1</f>
        <v>1</v>
      </c>
      <c r="F82">
        <f t="shared" si="9"/>
        <v>4.4184039999999865</v>
      </c>
      <c r="G82">
        <f t="shared" si="9"/>
        <v>237.17540025000002</v>
      </c>
      <c r="H82">
        <f t="shared" si="10"/>
        <v>32.37185099999995</v>
      </c>
      <c r="I82">
        <f t="shared" si="11"/>
        <v>0.9658689999999985</v>
      </c>
      <c r="J82">
        <f t="shared" si="12"/>
        <v>7.076529750000001</v>
      </c>
    </row>
    <row r="83" spans="1:10" ht="10.5">
      <c r="A83">
        <f>MidplaneThickness!A47</f>
        <v>17</v>
      </c>
      <c r="B83">
        <f>MidplaneThickness!B47</f>
        <v>16.99375</v>
      </c>
      <c r="C83">
        <f>MidplaneThickness!C47</f>
        <v>15.40075</v>
      </c>
      <c r="D83">
        <f>MidplaneThickness!D47</f>
        <v>0.45699999999999996</v>
      </c>
      <c r="E83">
        <f>1</f>
        <v>1</v>
      </c>
      <c r="F83">
        <f t="shared" si="9"/>
        <v>288.78753906249995</v>
      </c>
      <c r="G83">
        <f t="shared" si="9"/>
        <v>237.18310056250002</v>
      </c>
      <c r="H83">
        <f t="shared" si="10"/>
        <v>261.7164953125</v>
      </c>
      <c r="I83">
        <f t="shared" si="11"/>
        <v>7.766143749999999</v>
      </c>
      <c r="J83">
        <f t="shared" si="12"/>
        <v>7.03814275</v>
      </c>
    </row>
    <row r="84" spans="1:10" ht="10.5">
      <c r="A84">
        <f>MidplaneThickness!A48</f>
        <v>18</v>
      </c>
      <c r="B84">
        <f>MidplaneThickness!B48</f>
        <v>31.8855</v>
      </c>
      <c r="C84">
        <f>MidplaneThickness!C48</f>
        <v>15.401</v>
      </c>
      <c r="D84">
        <f>MidplaneThickness!D48</f>
        <v>0.45449999999999996</v>
      </c>
      <c r="E84">
        <f>1</f>
        <v>1</v>
      </c>
      <c r="F84">
        <f t="shared" si="9"/>
        <v>1016.68511025</v>
      </c>
      <c r="G84">
        <f t="shared" si="9"/>
        <v>237.190801</v>
      </c>
      <c r="H84">
        <f t="shared" si="10"/>
        <v>491.0685855</v>
      </c>
      <c r="I84">
        <f t="shared" si="11"/>
        <v>14.49195975</v>
      </c>
      <c r="J84">
        <f t="shared" si="12"/>
        <v>6.999754499999999</v>
      </c>
    </row>
    <row r="85" spans="1:10" ht="10.5">
      <c r="A85">
        <f>MidplaneThickness!A49</f>
        <v>19</v>
      </c>
      <c r="B85">
        <f>MidplaneThickness!B49</f>
        <v>46.2855</v>
      </c>
      <c r="C85">
        <f>MidplaneThickness!C49</f>
        <v>15.401</v>
      </c>
      <c r="D85">
        <f>MidplaneThickness!D49</f>
        <v>0.454</v>
      </c>
      <c r="E85">
        <f>1</f>
        <v>1</v>
      </c>
      <c r="F85">
        <f t="shared" si="9"/>
        <v>2142.3475102499997</v>
      </c>
      <c r="G85">
        <f t="shared" si="9"/>
        <v>237.190801</v>
      </c>
      <c r="H85">
        <f t="shared" si="10"/>
        <v>712.8429854999999</v>
      </c>
      <c r="I85">
        <f t="shared" si="11"/>
        <v>21.013617</v>
      </c>
      <c r="J85">
        <f t="shared" si="12"/>
        <v>6.992054</v>
      </c>
    </row>
    <row r="86" spans="1:10" ht="10.5">
      <c r="A86">
        <f>MidplaneThickness!A50</f>
        <v>20</v>
      </c>
      <c r="B86">
        <f>MidplaneThickness!B50</f>
        <v>60.684999999999995</v>
      </c>
      <c r="C86">
        <f>MidplaneThickness!C50</f>
        <v>15.401</v>
      </c>
      <c r="D86">
        <f>MidplaneThickness!D50</f>
        <v>0.4565</v>
      </c>
      <c r="E86">
        <f>1</f>
        <v>1</v>
      </c>
      <c r="F86">
        <f t="shared" si="9"/>
        <v>3682.669224999999</v>
      </c>
      <c r="G86">
        <f t="shared" si="9"/>
        <v>237.190801</v>
      </c>
      <c r="H86">
        <f t="shared" si="10"/>
        <v>934.6096849999999</v>
      </c>
      <c r="I86">
        <f t="shared" si="11"/>
        <v>27.702702499999997</v>
      </c>
      <c r="J86">
        <f t="shared" si="12"/>
        <v>7.0305565</v>
      </c>
    </row>
    <row r="87" spans="1:10" ht="10.5">
      <c r="A87">
        <f>MidplaneThickness!A51</f>
        <v>21</v>
      </c>
      <c r="B87">
        <f>MidplaneThickness!B51</f>
        <v>2.1019999999999968</v>
      </c>
      <c r="C87">
        <f>MidplaneThickness!C51</f>
        <v>30.8005</v>
      </c>
      <c r="D87">
        <f>MidplaneThickness!D51</f>
        <v>0.4575</v>
      </c>
      <c r="E87">
        <f>1</f>
        <v>1</v>
      </c>
      <c r="F87">
        <f t="shared" si="9"/>
        <v>4.4184039999999865</v>
      </c>
      <c r="G87">
        <f t="shared" si="9"/>
        <v>948.67080025</v>
      </c>
      <c r="H87">
        <f t="shared" si="10"/>
        <v>64.7426509999999</v>
      </c>
      <c r="I87">
        <f t="shared" si="11"/>
        <v>0.9616649999999985</v>
      </c>
      <c r="J87">
        <f t="shared" si="12"/>
        <v>14.09122875</v>
      </c>
    </row>
    <row r="88" spans="1:10" ht="10.5">
      <c r="A88">
        <f>MidplaneThickness!A52</f>
        <v>22</v>
      </c>
      <c r="B88">
        <f>MidplaneThickness!B52</f>
        <v>16.99375</v>
      </c>
      <c r="C88">
        <f>MidplaneThickness!C52</f>
        <v>30.8005</v>
      </c>
      <c r="D88">
        <f>MidplaneThickness!D52</f>
        <v>0.4535</v>
      </c>
      <c r="E88">
        <f>1</f>
        <v>1</v>
      </c>
      <c r="F88">
        <f t="shared" si="9"/>
        <v>288.78753906249995</v>
      </c>
      <c r="G88">
        <f t="shared" si="9"/>
        <v>948.67080025</v>
      </c>
      <c r="H88">
        <f t="shared" si="10"/>
        <v>523.4159968749999</v>
      </c>
      <c r="I88">
        <f t="shared" si="11"/>
        <v>7.706665624999999</v>
      </c>
      <c r="J88">
        <f t="shared" si="12"/>
        <v>13.96802675</v>
      </c>
    </row>
    <row r="89" spans="1:10" ht="10.5">
      <c r="A89">
        <f>MidplaneThickness!A53</f>
        <v>23</v>
      </c>
      <c r="B89">
        <f>MidplaneThickness!B53</f>
        <v>31.8855</v>
      </c>
      <c r="C89">
        <f>MidplaneThickness!C53</f>
        <v>30.8005</v>
      </c>
      <c r="D89">
        <f>MidplaneThickness!D53</f>
        <v>0.4495</v>
      </c>
      <c r="E89">
        <f>1</f>
        <v>1</v>
      </c>
      <c r="F89">
        <f t="shared" si="9"/>
        <v>1016.68511025</v>
      </c>
      <c r="G89">
        <f t="shared" si="9"/>
        <v>948.67080025</v>
      </c>
      <c r="H89">
        <f t="shared" si="10"/>
        <v>982.08934275</v>
      </c>
      <c r="I89">
        <f t="shared" si="11"/>
        <v>14.33253225</v>
      </c>
      <c r="J89">
        <f t="shared" si="12"/>
        <v>13.84482475</v>
      </c>
    </row>
    <row r="90" spans="1:10" ht="10.5">
      <c r="A90">
        <f>MidplaneThickness!A54</f>
        <v>24</v>
      </c>
      <c r="B90">
        <f>MidplaneThickness!B54</f>
        <v>46.285000000000004</v>
      </c>
      <c r="C90">
        <f>MidplaneThickness!C54</f>
        <v>30.801</v>
      </c>
      <c r="D90">
        <f>MidplaneThickness!D54</f>
        <v>0.44699999999999995</v>
      </c>
      <c r="E90">
        <f>1</f>
        <v>1</v>
      </c>
      <c r="F90">
        <f t="shared" si="9"/>
        <v>2142.301225</v>
      </c>
      <c r="G90">
        <f t="shared" si="9"/>
        <v>948.7016009999999</v>
      </c>
      <c r="H90">
        <f t="shared" si="10"/>
        <v>1425.624285</v>
      </c>
      <c r="I90">
        <f t="shared" si="11"/>
        <v>20.689395</v>
      </c>
      <c r="J90">
        <f t="shared" si="12"/>
        <v>13.768046999999997</v>
      </c>
    </row>
    <row r="91" spans="1:10" ht="10.5">
      <c r="A91">
        <f>MidplaneThickness!A55</f>
        <v>25</v>
      </c>
      <c r="B91">
        <f>MidplaneThickness!B55</f>
        <v>60.685</v>
      </c>
      <c r="C91">
        <f>MidplaneThickness!C55</f>
        <v>30.801</v>
      </c>
      <c r="D91">
        <f>MidplaneThickness!D55</f>
        <v>0.4475</v>
      </c>
      <c r="E91">
        <f>1</f>
        <v>1</v>
      </c>
      <c r="F91">
        <f t="shared" si="9"/>
        <v>3682.669225</v>
      </c>
      <c r="G91">
        <f t="shared" si="9"/>
        <v>948.7016009999999</v>
      </c>
      <c r="H91">
        <f t="shared" si="10"/>
        <v>1869.1586849999999</v>
      </c>
      <c r="I91">
        <f t="shared" si="11"/>
        <v>27.156537500000002</v>
      </c>
      <c r="J91">
        <f t="shared" si="12"/>
        <v>13.7834475</v>
      </c>
    </row>
  </sheetData>
  <printOptions/>
  <pageMargins left="0.75" right="0.75" top="1" bottom="1" header="0.512" footer="0.512"/>
  <pageSetup fitToHeight="1" fitToWidth="1" orientation="portrait" paperSize="9" scale="57" r:id="rId1"/>
  <headerFooter alignWithMargins="0">
    <oddHeader>&amp;C&amp;F</oddHeader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workbookViewId="0" topLeftCell="A13">
      <selection activeCell="G24" sqref="G24"/>
    </sheetView>
  </sheetViews>
  <sheetFormatPr defaultColWidth="9.140625" defaultRowHeight="12"/>
  <cols>
    <col min="1" max="16384" width="12.00390625" style="0" customWidth="1"/>
  </cols>
  <sheetData>
    <row r="1" ht="10.5">
      <c r="A1" t="s">
        <v>407</v>
      </c>
    </row>
    <row r="3" spans="2:7" ht="10.5">
      <c r="B3" t="str">
        <f>LoFacingFrame!B3</f>
        <v>Lower</v>
      </c>
      <c r="D3" t="s">
        <v>408</v>
      </c>
      <c r="E3" t="str">
        <f>LoFacingFrame!E3</f>
        <v>Upper</v>
      </c>
      <c r="G3" t="s">
        <v>409</v>
      </c>
    </row>
    <row r="4" spans="1:7" ht="10.5">
      <c r="A4" t="str">
        <f>LoFacingFrame!A4</f>
        <v>LeftSensor</v>
      </c>
      <c r="B4" t="str">
        <f>LoFacingFrame!B4</f>
        <v>x</v>
      </c>
      <c r="C4" t="str">
        <f>LoFacingFrame!C4</f>
        <v>y</v>
      </c>
      <c r="D4" t="str">
        <f>LoFacingFrame!D4</f>
        <v>z</v>
      </c>
      <c r="E4" t="str">
        <f>LoFacingFrame!E4</f>
        <v>x</v>
      </c>
      <c r="F4" t="str">
        <f>LoFacingFrame!F4</f>
        <v>y</v>
      </c>
      <c r="G4" t="str">
        <f>LoFacingFrame!G4</f>
        <v>z</v>
      </c>
    </row>
    <row r="5" spans="1:8" ht="10.5">
      <c r="A5">
        <f>LoFacingFrame!A5</f>
        <v>1</v>
      </c>
      <c r="B5" s="14">
        <f>LoFacingFrame!B5</f>
        <v>-60.999</v>
      </c>
      <c r="C5" s="14">
        <f>LoFacingFrame!C5</f>
        <v>1.2000000000000028</v>
      </c>
      <c r="D5" s="14">
        <f>LoFacingFrame!D5-(Transformations!$R$39*MidplaneFrame!B5+Transformations!$R$40*MidplaneFrame!C5+Transformations!$R$41)*Transformations!$R$42</f>
        <v>-0.5286197538414728</v>
      </c>
      <c r="E5" s="14">
        <f>LoFacingFrame!E5</f>
        <v>-60.998</v>
      </c>
      <c r="F5" s="14">
        <f>LoFacingFrame!F5</f>
        <v>-62.799</v>
      </c>
      <c r="G5" s="14">
        <f>LoFacingFrame!G5-(Transformations!$R$39*MidplaneFrame!E5+Transformations!$R$40*MidplaneFrame!F5+Transformations!$R$41)*Transformations!$R$42</f>
        <v>0.5322596309057932</v>
      </c>
      <c r="H5" s="14"/>
    </row>
    <row r="6" spans="1:8" ht="10.5">
      <c r="A6">
        <f>LoFacingFrame!A6</f>
        <v>2</v>
      </c>
      <c r="B6" s="14">
        <f>LoFacingFrame!B6</f>
        <v>-46.6</v>
      </c>
      <c r="C6" s="14">
        <f>LoFacingFrame!C6</f>
        <v>1.2000000000000028</v>
      </c>
      <c r="D6" s="14">
        <f>LoFacingFrame!D6-(Transformations!$R$39*MidplaneFrame!B6+Transformations!$R$40*MidplaneFrame!C6+Transformations!$R$41)*Transformations!$R$42</f>
        <v>-0.5563586669871351</v>
      </c>
      <c r="E6" s="14">
        <f>LoFacingFrame!E6</f>
        <v>-46.598</v>
      </c>
      <c r="F6" s="14">
        <f>LoFacingFrame!F6</f>
        <v>-62.8</v>
      </c>
      <c r="G6" s="14">
        <f>LoFacingFrame!G6-(Transformations!$R$39*MidplaneFrame!E6+Transformations!$R$40*MidplaneFrame!F6+Transformations!$R$41)*Transformations!$R$42</f>
        <v>0.5605195915860928</v>
      </c>
      <c r="H6" s="14"/>
    </row>
    <row r="7" spans="1:8" ht="10.5">
      <c r="A7">
        <f>LoFacingFrame!A7</f>
        <v>3</v>
      </c>
      <c r="B7" s="14">
        <f>LoFacingFrame!B7</f>
        <v>-32.2</v>
      </c>
      <c r="C7" s="14">
        <f>LoFacingFrame!C7</f>
        <v>1.2000000000000028</v>
      </c>
      <c r="D7" s="14">
        <f>LoFacingFrame!D7-(Transformations!$R$39*MidplaneFrame!B7+Transformations!$R$40*MidplaneFrame!C7+Transformations!$R$41)*Transformations!$R$42</f>
        <v>-0.5700986731887836</v>
      </c>
      <c r="E7" s="14">
        <f>LoFacingFrame!E7</f>
        <v>-32.198</v>
      </c>
      <c r="F7" s="14">
        <f>LoFacingFrame!F7</f>
        <v>-62.8</v>
      </c>
      <c r="G7" s="14">
        <f>LoFacingFrame!G7-(Transformations!$R$39*MidplaneFrame!E7+Transformations!$R$40*MidplaneFrame!F7+Transformations!$R$41)*Transformations!$R$42</f>
        <v>0.5747795853844442</v>
      </c>
      <c r="H7" s="14"/>
    </row>
    <row r="8" spans="1:8" ht="10.5">
      <c r="A8">
        <f>LoFacingFrame!A8</f>
        <v>4</v>
      </c>
      <c r="B8" s="14">
        <f>LoFacingFrame!B8</f>
        <v>-17.799999999999997</v>
      </c>
      <c r="C8" s="14">
        <f>LoFacingFrame!C8</f>
        <v>1.2000000000000028</v>
      </c>
      <c r="D8" s="14">
        <f>LoFacingFrame!D8-(Transformations!$R$39*MidplaneFrame!B8+Transformations!$R$40*MidplaneFrame!C8+Transformations!$R$41)*Transformations!$R$42</f>
        <v>-0.5748386793904323</v>
      </c>
      <c r="E8" s="14">
        <f>LoFacingFrame!E8</f>
        <v>-17.798000000000002</v>
      </c>
      <c r="F8" s="14">
        <f>LoFacingFrame!F8</f>
        <v>-62.799</v>
      </c>
      <c r="G8" s="14">
        <f>LoFacingFrame!G8-(Transformations!$R$39*MidplaneFrame!E8+Transformations!$R$40*MidplaneFrame!F8+Transformations!$R$41)*Transformations!$R$42</f>
        <v>0.5750396123008472</v>
      </c>
      <c r="H8" s="14"/>
    </row>
    <row r="9" spans="1:8" ht="10.5">
      <c r="A9">
        <f>LoFacingFrame!A9</f>
        <v>5</v>
      </c>
      <c r="B9" s="14">
        <f>LoFacingFrame!B9</f>
        <v>-3.399000000000001</v>
      </c>
      <c r="C9" s="14">
        <f>LoFacingFrame!C9</f>
        <v>1.2000000000000028</v>
      </c>
      <c r="D9" s="14">
        <f>LoFacingFrame!D9-(Transformations!$R$39*MidplaneFrame!B9+Transformations!$R$40*MidplaneFrame!C9+Transformations!$R$41)*Transformations!$R$42</f>
        <v>-0.5705797786480672</v>
      </c>
      <c r="E9" s="14">
        <f>LoFacingFrame!E9</f>
        <v>-3.3980000000000032</v>
      </c>
      <c r="F9" s="14">
        <f>LoFacingFrame!F9</f>
        <v>-62.8</v>
      </c>
      <c r="G9" s="14">
        <f>LoFacingFrame!G9-(Transformations!$R$39*MidplaneFrame!E9+Transformations!$R$40*MidplaneFrame!F9+Transformations!$R$41)*Transformations!$R$42</f>
        <v>0.565299572981147</v>
      </c>
      <c r="H9" s="14"/>
    </row>
    <row r="10" spans="1:8" ht="10.5">
      <c r="A10">
        <f>LoFacingFrame!A10</f>
        <v>6</v>
      </c>
      <c r="B10" s="14">
        <f>LoFacingFrame!B10</f>
        <v>-60.999</v>
      </c>
      <c r="C10" s="14">
        <f>LoFacingFrame!C10</f>
        <v>16.6</v>
      </c>
      <c r="D10" s="14">
        <f>LoFacingFrame!D10-(Transformations!$R$39*MidplaneFrame!B10+Transformations!$R$40*MidplaneFrame!C10+Transformations!$R$41)*Transformations!$R$42</f>
        <v>-0.520109735843849</v>
      </c>
      <c r="E10" s="14">
        <f>LoFacingFrame!E10</f>
        <v>-60.998</v>
      </c>
      <c r="F10" s="14">
        <f>LoFacingFrame!F10</f>
        <v>-47.4</v>
      </c>
      <c r="G10" s="14">
        <f>LoFacingFrame!G10-(Transformations!$R$39*MidplaneFrame!E10+Transformations!$R$40*MidplaneFrame!F10+Transformations!$R$41)*Transformations!$R$42</f>
        <v>0.5137696157853651</v>
      </c>
      <c r="H10" s="14"/>
    </row>
    <row r="11" spans="1:8" ht="10.5">
      <c r="A11">
        <f>LoFacingFrame!A11</f>
        <v>7</v>
      </c>
      <c r="B11" s="14">
        <f>LoFacingFrame!B11</f>
        <v>-46.599000000000004</v>
      </c>
      <c r="C11" s="14">
        <f>LoFacingFrame!C11</f>
        <v>16.6</v>
      </c>
      <c r="D11" s="14">
        <f>LoFacingFrame!D11-(Transformations!$R$39*MidplaneFrame!B11+Transformations!$R$40*MidplaneFrame!C11+Transformations!$R$41)*Transformations!$R$42</f>
        <v>-0.5438497420454976</v>
      </c>
      <c r="E11" s="14">
        <f>LoFacingFrame!E11</f>
        <v>-46.598</v>
      </c>
      <c r="F11" s="14">
        <f>LoFacingFrame!F11</f>
        <v>-47.4</v>
      </c>
      <c r="G11" s="14">
        <f>LoFacingFrame!G11-(Transformations!$R$39*MidplaneFrame!E11+Transformations!$R$40*MidplaneFrame!F11+Transformations!$R$41)*Transformations!$R$42</f>
        <v>0.5460296095837164</v>
      </c>
      <c r="H11" s="14"/>
    </row>
    <row r="12" spans="1:9" ht="10.5">
      <c r="A12">
        <f>LoFacingFrame!A12</f>
        <v>8</v>
      </c>
      <c r="B12" s="14">
        <f>LoFacingFrame!B12</f>
        <v>-32.2</v>
      </c>
      <c r="C12" s="14">
        <f>LoFacingFrame!C12</f>
        <v>16.6</v>
      </c>
      <c r="D12" s="14">
        <f>LoFacingFrame!D12-(Transformations!$R$39*MidplaneFrame!B12+Transformations!$R$40*MidplaneFrame!C12+Transformations!$R$41)*Transformations!$R$42</f>
        <v>-0.5605886551911601</v>
      </c>
      <c r="E12" s="14">
        <f>LoFacingFrame!E12</f>
        <v>-32.198</v>
      </c>
      <c r="F12" s="14">
        <f>LoFacingFrame!F12</f>
        <v>-47.4</v>
      </c>
      <c r="G12" s="14">
        <f>LoFacingFrame!G12-(Transformations!$R$39*MidplaneFrame!E12+Transformations!$R$40*MidplaneFrame!F12+Transformations!$R$41)*Transformations!$R$42</f>
        <v>0.5582896033820679</v>
      </c>
      <c r="H12" s="14"/>
      <c r="I12" s="14"/>
    </row>
    <row r="13" spans="1:8" ht="10.5">
      <c r="A13">
        <f>LoFacingFrame!A13</f>
        <v>9</v>
      </c>
      <c r="B13" s="14">
        <f>LoFacingFrame!B13</f>
        <v>-17.799999999999997</v>
      </c>
      <c r="C13" s="14">
        <f>LoFacingFrame!C13</f>
        <v>16.6</v>
      </c>
      <c r="D13" s="14">
        <f>LoFacingFrame!D13-(Transformations!$R$39*MidplaneFrame!B13+Transformations!$R$40*MidplaneFrame!C13+Transformations!$R$41)*Transformations!$R$42</f>
        <v>-0.5603286613928086</v>
      </c>
      <c r="E13" s="14">
        <f>LoFacingFrame!E13</f>
        <v>-17.798000000000002</v>
      </c>
      <c r="F13" s="14">
        <f>LoFacingFrame!F13</f>
        <v>-47.4</v>
      </c>
      <c r="G13" s="14">
        <f>LoFacingFrame!G13-(Transformations!$R$39*MidplaneFrame!E13+Transformations!$R$40*MidplaneFrame!F13+Transformations!$R$41)*Transformations!$R$42</f>
        <v>0.5575495971804193</v>
      </c>
      <c r="H13" s="14"/>
    </row>
    <row r="14" spans="1:8" ht="10.5">
      <c r="A14">
        <f>LoFacingFrame!A14</f>
        <v>10</v>
      </c>
      <c r="B14" s="14">
        <f>LoFacingFrame!B14</f>
        <v>-3.399000000000001</v>
      </c>
      <c r="C14" s="14">
        <f>LoFacingFrame!C14</f>
        <v>16.6</v>
      </c>
      <c r="D14" s="14">
        <f>LoFacingFrame!D14-(Transformations!$R$39*MidplaneFrame!B14+Transformations!$R$40*MidplaneFrame!C14+Transformations!$R$41)*Transformations!$R$42</f>
        <v>-0.5570697606504434</v>
      </c>
      <c r="E14" s="14">
        <f>LoFacingFrame!E14</f>
        <v>-3.3980000000000032</v>
      </c>
      <c r="F14" s="14">
        <f>LoFacingFrame!F14</f>
        <v>-47.4</v>
      </c>
      <c r="G14" s="14">
        <f>LoFacingFrame!G14-(Transformations!$R$39*MidplaneFrame!E14+Transformations!$R$40*MidplaneFrame!F14+Transformations!$R$41)*Transformations!$R$42</f>
        <v>0.5508095909787707</v>
      </c>
      <c r="H14" s="14"/>
    </row>
    <row r="15" spans="1:8" ht="10.5">
      <c r="A15">
        <f>LoFacingFrame!A15</f>
        <v>11</v>
      </c>
      <c r="B15" s="14">
        <f>LoFacingFrame!B15</f>
        <v>-61</v>
      </c>
      <c r="C15" s="14">
        <f>LoFacingFrame!C15</f>
        <v>32</v>
      </c>
      <c r="D15" s="14">
        <f>LoFacingFrame!D15-(Transformations!$R$39*MidplaneFrame!B15+Transformations!$R$40*MidplaneFrame!C15+Transformations!$R$41)*Transformations!$R$42</f>
        <v>-0.5245986247902392</v>
      </c>
      <c r="E15" s="14">
        <f>LoFacingFrame!E15</f>
        <v>-60.998</v>
      </c>
      <c r="F15" s="14">
        <f>LoFacingFrame!F15</f>
        <v>-31.999</v>
      </c>
      <c r="G15" s="14">
        <f>LoFacingFrame!G15-(Transformations!$R$39*MidplaneFrame!E15+Transformations!$R$40*MidplaneFrame!F15+Transformations!$R$41)*Transformations!$R$42</f>
        <v>0.5222796669010406</v>
      </c>
      <c r="H15" s="14"/>
    </row>
    <row r="16" spans="1:8" ht="10.5">
      <c r="A16">
        <f>LoFacingFrame!A16</f>
        <v>12</v>
      </c>
      <c r="B16" s="14">
        <f>LoFacingFrame!B16</f>
        <v>-46.599000000000004</v>
      </c>
      <c r="C16" s="14">
        <f>LoFacingFrame!C16</f>
        <v>32</v>
      </c>
      <c r="D16" s="14">
        <f>LoFacingFrame!D16-(Transformations!$R$39*MidplaneFrame!B16+Transformations!$R$40*MidplaneFrame!C16+Transformations!$R$41)*Transformations!$R$42</f>
        <v>-0.5483397240478739</v>
      </c>
      <c r="E16" s="14">
        <f>LoFacingFrame!E16</f>
        <v>-46.598</v>
      </c>
      <c r="F16" s="14">
        <f>LoFacingFrame!F16</f>
        <v>-32</v>
      </c>
      <c r="G16" s="14">
        <f>LoFacingFrame!G16-(Transformations!$R$39*MidplaneFrame!E16+Transformations!$R$40*MidplaneFrame!F16+Transformations!$R$41)*Transformations!$R$42</f>
        <v>0.5465396275813401</v>
      </c>
      <c r="H16" s="14"/>
    </row>
    <row r="17" spans="1:8" ht="10.5">
      <c r="A17">
        <f>LoFacingFrame!A17</f>
        <v>13</v>
      </c>
      <c r="B17" s="14">
        <f>LoFacingFrame!B17</f>
        <v>-32.2</v>
      </c>
      <c r="C17" s="14">
        <f>LoFacingFrame!C17</f>
        <v>32</v>
      </c>
      <c r="D17" s="14">
        <f>LoFacingFrame!D17-(Transformations!$R$39*MidplaneFrame!B17+Transformations!$R$40*MidplaneFrame!C17+Transformations!$R$41)*Transformations!$R$42</f>
        <v>-0.5570786371935363</v>
      </c>
      <c r="E17" s="14">
        <f>LoFacingFrame!E17</f>
        <v>-32.198</v>
      </c>
      <c r="F17" s="14">
        <f>LoFacingFrame!F17</f>
        <v>-32</v>
      </c>
      <c r="G17" s="14">
        <f>LoFacingFrame!G17-(Transformations!$R$39*MidplaneFrame!E17+Transformations!$R$40*MidplaneFrame!F17+Transformations!$R$41)*Transformations!$R$42</f>
        <v>0.5607996213796915</v>
      </c>
      <c r="H17" s="14"/>
    </row>
    <row r="18" spans="1:8" ht="10.5">
      <c r="A18">
        <f>LoFacingFrame!A18</f>
        <v>14</v>
      </c>
      <c r="B18" s="14">
        <f>LoFacingFrame!B18</f>
        <v>-17.799999999999997</v>
      </c>
      <c r="C18" s="14">
        <f>LoFacingFrame!C18</f>
        <v>32</v>
      </c>
      <c r="D18" s="14">
        <f>LoFacingFrame!D18-(Transformations!$R$39*MidplaneFrame!B18+Transformations!$R$40*MidplaneFrame!C18+Transformations!$R$41)*Transformations!$R$42</f>
        <v>-0.561818643395185</v>
      </c>
      <c r="E18" s="14">
        <f>LoFacingFrame!E18</f>
        <v>-17.798000000000002</v>
      </c>
      <c r="F18" s="14">
        <f>LoFacingFrame!F18</f>
        <v>-31.999</v>
      </c>
      <c r="G18" s="14">
        <f>LoFacingFrame!G18-(Transformations!$R$39*MidplaneFrame!E18+Transformations!$R$40*MidplaneFrame!F18+Transformations!$R$41)*Transformations!$R$42</f>
        <v>0.5650596482960948</v>
      </c>
      <c r="H18" s="14"/>
    </row>
    <row r="19" spans="1:8" ht="10.5">
      <c r="A19">
        <f>LoFacingFrame!A19</f>
        <v>15</v>
      </c>
      <c r="B19" s="14">
        <f>LoFacingFrame!B19</f>
        <v>-3.3999999999999986</v>
      </c>
      <c r="C19" s="14">
        <f>LoFacingFrame!C19</f>
        <v>31.999</v>
      </c>
      <c r="D19" s="14">
        <f>LoFacingFrame!D19-(Transformations!$R$39*MidplaneFrame!B19+Transformations!$R$40*MidplaneFrame!C19+Transformations!$R$41)*Transformations!$R$42</f>
        <v>-0.5575586827148854</v>
      </c>
      <c r="E19" s="14">
        <f>LoFacingFrame!E19</f>
        <v>-3.3980000000000032</v>
      </c>
      <c r="F19" s="14">
        <f>LoFacingFrame!F19</f>
        <v>-32</v>
      </c>
      <c r="G19" s="14">
        <f>LoFacingFrame!G19-(Transformations!$R$39*MidplaneFrame!E19+Transformations!$R$40*MidplaneFrame!F19+Transformations!$R$41)*Transformations!$R$42</f>
        <v>0.5563196089763942</v>
      </c>
      <c r="H19" s="14"/>
    </row>
    <row r="20" spans="1:8" ht="10.5">
      <c r="A20">
        <f>LoFacingFrame!A20</f>
        <v>16</v>
      </c>
      <c r="B20" s="14">
        <f>LoFacingFrame!B20</f>
        <v>-61</v>
      </c>
      <c r="C20" s="14">
        <f>LoFacingFrame!C20</f>
        <v>47.4</v>
      </c>
      <c r="D20" s="14">
        <f>LoFacingFrame!D20-(Transformations!$R$39*MidplaneFrame!B20+Transformations!$R$40*MidplaneFrame!C20+Transformations!$R$41)*Transformations!$R$42</f>
        <v>-0.5210886067926155</v>
      </c>
      <c r="E20" s="14">
        <f>LoFacingFrame!E20</f>
        <v>-60.998</v>
      </c>
      <c r="F20" s="14">
        <f>LoFacingFrame!F20</f>
        <v>-16.6</v>
      </c>
      <c r="G20" s="14">
        <f>LoFacingFrame!G20-(Transformations!$R$39*MidplaneFrame!E20+Transformations!$R$40*MidplaneFrame!F20+Transformations!$R$41)*Transformations!$R$42</f>
        <v>0.5257896517806124</v>
      </c>
      <c r="H20" s="14"/>
    </row>
    <row r="21" spans="1:8" ht="10.5">
      <c r="A21">
        <f>LoFacingFrame!A21</f>
        <v>17</v>
      </c>
      <c r="B21" s="14">
        <f>LoFacingFrame!B21</f>
        <v>-46.599000000000004</v>
      </c>
      <c r="C21" s="14">
        <f>LoFacingFrame!C21</f>
        <v>47.4</v>
      </c>
      <c r="D21" s="14">
        <f>LoFacingFrame!D21-(Transformations!$R$39*MidplaneFrame!B21+Transformations!$R$40*MidplaneFrame!C21+Transformations!$R$41)*Transformations!$R$42</f>
        <v>-0.5468297060502503</v>
      </c>
      <c r="E21" s="14">
        <f>LoFacingFrame!E21</f>
        <v>-46.598</v>
      </c>
      <c r="F21" s="14">
        <f>LoFacingFrame!F21</f>
        <v>-16.6</v>
      </c>
      <c r="G21" s="14">
        <f>LoFacingFrame!G21-(Transformations!$R$39*MidplaneFrame!E21+Transformations!$R$40*MidplaneFrame!F21+Transformations!$R$41)*Transformations!$R$42</f>
        <v>0.5480496455789637</v>
      </c>
      <c r="H21" s="14"/>
    </row>
    <row r="22" spans="1:8" ht="10.5">
      <c r="A22">
        <f>LoFacingFrame!A22</f>
        <v>18</v>
      </c>
      <c r="B22" s="14">
        <f>LoFacingFrame!B22</f>
        <v>-32.2</v>
      </c>
      <c r="C22" s="14">
        <f>LoFacingFrame!C22</f>
        <v>47.4</v>
      </c>
      <c r="D22" s="14">
        <f>LoFacingFrame!D22-(Transformations!$R$39*MidplaneFrame!B22+Transformations!$R$40*MidplaneFrame!C22+Transformations!$R$41)*Transformations!$R$42</f>
        <v>-0.5535686191959126</v>
      </c>
      <c r="E22" s="14">
        <f>LoFacingFrame!E22</f>
        <v>-32.198</v>
      </c>
      <c r="F22" s="14">
        <f>LoFacingFrame!F22</f>
        <v>-16.6</v>
      </c>
      <c r="G22" s="14">
        <f>LoFacingFrame!G22-(Transformations!$R$39*MidplaneFrame!E22+Transformations!$R$40*MidplaneFrame!F22+Transformations!$R$41)*Transformations!$R$42</f>
        <v>0.5593096393773151</v>
      </c>
      <c r="H22" s="14"/>
    </row>
    <row r="23" spans="1:8" ht="10.5">
      <c r="A23">
        <f>LoFacingFrame!A23</f>
        <v>19</v>
      </c>
      <c r="B23" s="14">
        <f>LoFacingFrame!B23</f>
        <v>-17.799999999999997</v>
      </c>
      <c r="C23" s="14">
        <f>LoFacingFrame!C23</f>
        <v>47.4</v>
      </c>
      <c r="D23" s="14">
        <f>LoFacingFrame!D23-(Transformations!$R$39*MidplaneFrame!B23+Transformations!$R$40*MidplaneFrame!C23+Transformations!$R$41)*Transformations!$R$42</f>
        <v>-0.5553086253975613</v>
      </c>
      <c r="E23" s="14">
        <f>LoFacingFrame!E23</f>
        <v>-17.798000000000002</v>
      </c>
      <c r="F23" s="14">
        <f>LoFacingFrame!F23</f>
        <v>-16.6</v>
      </c>
      <c r="G23" s="14">
        <f>LoFacingFrame!G23-(Transformations!$R$39*MidplaneFrame!E23+Transformations!$R$40*MidplaneFrame!F23+Transformations!$R$41)*Transformations!$R$42</f>
        <v>0.5655696331756667</v>
      </c>
      <c r="H23" s="14"/>
    </row>
    <row r="24" spans="1:8" ht="10.5">
      <c r="A24">
        <f>LoFacingFrame!A24</f>
        <v>20</v>
      </c>
      <c r="B24" s="14">
        <f>LoFacingFrame!B24</f>
        <v>-3.3999999999999986</v>
      </c>
      <c r="C24" s="14">
        <f>LoFacingFrame!C24</f>
        <v>47.4</v>
      </c>
      <c r="D24" s="14">
        <f>LoFacingFrame!D24-(Transformations!$R$39*MidplaneFrame!B24+Transformations!$R$40*MidplaneFrame!C24+Transformations!$R$41)*Transformations!$R$42</f>
        <v>-0.5630486315992099</v>
      </c>
      <c r="E24" s="14">
        <f>LoFacingFrame!E24</f>
        <v>-3.3980000000000032</v>
      </c>
      <c r="F24" s="14">
        <f>LoFacingFrame!F24</f>
        <v>-16.6</v>
      </c>
      <c r="G24" s="14">
        <f>LoFacingFrame!G24-(Transformations!$R$39*MidplaneFrame!E24+Transformations!$R$40*MidplaneFrame!F24+Transformations!$R$41)*Transformations!$R$42</f>
        <v>0.5548296269740178</v>
      </c>
      <c r="H24" s="14"/>
    </row>
    <row r="25" spans="1:8" ht="10.5">
      <c r="A25">
        <f>LoFacingFrame!A25</f>
        <v>21</v>
      </c>
      <c r="B25" s="14">
        <f>LoFacingFrame!B25</f>
        <v>-60.999</v>
      </c>
      <c r="C25" s="14">
        <f>LoFacingFrame!C25</f>
        <v>62.799</v>
      </c>
      <c r="D25" s="14">
        <f>LoFacingFrame!D25-(Transformations!$R$39*MidplaneFrame!B25+Transformations!$R$40*MidplaneFrame!C25+Transformations!$R$41)*Transformations!$R$42</f>
        <v>-0.5325797149690298</v>
      </c>
      <c r="E25" s="14">
        <f>LoFacingFrame!E25</f>
        <v>-60.998</v>
      </c>
      <c r="F25" s="14">
        <f>LoFacingFrame!F25</f>
        <v>-1.2000000000000028</v>
      </c>
      <c r="G25" s="14">
        <f>LoFacingFrame!G25-(Transformations!$R$39*MidplaneFrame!E25+Transformations!$R$40*MidplaneFrame!F25+Transformations!$R$41)*Transformations!$R$42</f>
        <v>0.522299669778236</v>
      </c>
      <c r="H25" s="14"/>
    </row>
    <row r="26" spans="1:8" ht="10.5">
      <c r="A26">
        <f>LoFacingFrame!A26</f>
        <v>22</v>
      </c>
      <c r="B26" s="14">
        <f>LoFacingFrame!B26</f>
        <v>-46.6</v>
      </c>
      <c r="C26" s="14">
        <f>LoFacingFrame!C26</f>
        <v>62.8</v>
      </c>
      <c r="D26" s="14">
        <f>LoFacingFrame!D26-(Transformations!$R$39*MidplaneFrame!B26+Transformations!$R$40*MidplaneFrame!C26+Transformations!$R$41)*Transformations!$R$42</f>
        <v>-0.5553185949966404</v>
      </c>
      <c r="E26" s="14">
        <f>LoFacingFrame!E26</f>
        <v>-46.598</v>
      </c>
      <c r="F26" s="14">
        <f>LoFacingFrame!F26</f>
        <v>-1.2000000000000028</v>
      </c>
      <c r="G26" s="14">
        <f>LoFacingFrame!G26-(Transformations!$R$39*MidplaneFrame!E26+Transformations!$R$40*MidplaneFrame!F26+Transformations!$R$41)*Transformations!$R$42</f>
        <v>0.5515596635765875</v>
      </c>
      <c r="H26" s="14"/>
    </row>
    <row r="27" spans="1:8" ht="10.5">
      <c r="A27">
        <f>LoFacingFrame!A27</f>
        <v>23</v>
      </c>
      <c r="B27" s="14">
        <f>LoFacingFrame!B27</f>
        <v>-32.199</v>
      </c>
      <c r="C27" s="14">
        <f>LoFacingFrame!C27</f>
        <v>62.8</v>
      </c>
      <c r="D27" s="14">
        <f>LoFacingFrame!D27-(Transformations!$R$39*MidplaneFrame!B27+Transformations!$R$40*MidplaneFrame!C27+Transformations!$R$41)*Transformations!$R$42</f>
        <v>-0.5640596942542752</v>
      </c>
      <c r="E27" s="14">
        <f>LoFacingFrame!E27</f>
        <v>-32.198</v>
      </c>
      <c r="F27" s="14">
        <f>LoFacingFrame!F27</f>
        <v>-1.198999999999998</v>
      </c>
      <c r="G27" s="14">
        <f>LoFacingFrame!G27-(Transformations!$R$39*MidplaneFrame!E27+Transformations!$R$40*MidplaneFrame!F27+Transformations!$R$41)*Transformations!$R$42</f>
        <v>0.5628196904929907</v>
      </c>
      <c r="H27" s="14"/>
    </row>
    <row r="28" spans="1:8" ht="10.5">
      <c r="A28">
        <f>LoFacingFrame!A28</f>
        <v>24</v>
      </c>
      <c r="B28" s="14">
        <f>LoFacingFrame!B28</f>
        <v>-17.799</v>
      </c>
      <c r="C28" s="14">
        <f>LoFacingFrame!C28</f>
        <v>62.8</v>
      </c>
      <c r="D28" s="14">
        <f>LoFacingFrame!D28-(Transformations!$R$39*MidplaneFrame!B28+Transformations!$R$40*MidplaneFrame!C28+Transformations!$R$41)*Transformations!$R$42</f>
        <v>-0.5627997004559238</v>
      </c>
      <c r="E28" s="14">
        <f>LoFacingFrame!E28</f>
        <v>-17.798000000000002</v>
      </c>
      <c r="F28" s="14">
        <f>LoFacingFrame!F28</f>
        <v>-1.2000000000000028</v>
      </c>
      <c r="G28" s="14">
        <f>LoFacingFrame!G28-(Transformations!$R$39*MidplaneFrame!E28+Transformations!$R$40*MidplaneFrame!F28+Transformations!$R$41)*Transformations!$R$42</f>
        <v>0.5670796511732902</v>
      </c>
      <c r="H28" s="14"/>
    </row>
    <row r="29" spans="1:8" ht="10.5">
      <c r="A29">
        <f>LoFacingFrame!A29</f>
        <v>25</v>
      </c>
      <c r="B29" s="14">
        <f>LoFacingFrame!B29</f>
        <v>-3.399000000000001</v>
      </c>
      <c r="C29" s="14">
        <f>LoFacingFrame!C29</f>
        <v>62.8</v>
      </c>
      <c r="D29" s="14">
        <f>LoFacingFrame!D29-(Transformations!$R$39*MidplaneFrame!B29+Transformations!$R$40*MidplaneFrame!C29+Transformations!$R$41)*Transformations!$R$42</f>
        <v>-0.5615397066575725</v>
      </c>
      <c r="E29" s="14">
        <f>LoFacingFrame!E29</f>
        <v>-3.3980000000000032</v>
      </c>
      <c r="F29" s="14">
        <f>LoFacingFrame!F29</f>
        <v>-1.2000000000000028</v>
      </c>
      <c r="G29" s="14">
        <f>LoFacingFrame!G29-(Transformations!$R$39*MidplaneFrame!E29+Transformations!$R$40*MidplaneFrame!F29+Transformations!$R$41)*Transformations!$R$42</f>
        <v>0.5653396449716417</v>
      </c>
      <c r="H29" s="14"/>
    </row>
    <row r="30" spans="1:8" ht="10.5">
      <c r="A30" t="str">
        <f>LoFacingFrame!A30</f>
        <v>RightSensor</v>
      </c>
      <c r="B30" s="14" t="str">
        <f>LoFacingFrame!B30</f>
        <v>x</v>
      </c>
      <c r="C30" s="14" t="str">
        <f>LoFacingFrame!C30</f>
        <v>y</v>
      </c>
      <c r="D30" s="14" t="str">
        <f>LoFacingFrame!D30</f>
        <v>z</v>
      </c>
      <c r="E30" s="14" t="str">
        <f>LoFacingFrame!E30</f>
        <v>x</v>
      </c>
      <c r="F30" s="14" t="str">
        <f>LoFacingFrame!F30</f>
        <v>y</v>
      </c>
      <c r="G30" s="14" t="str">
        <f>LoFacingFrame!G30</f>
        <v>z</v>
      </c>
      <c r="H30" s="14"/>
    </row>
    <row r="31" spans="1:8" ht="10.5">
      <c r="A31">
        <f>LoFacingFrame!A31</f>
        <v>1</v>
      </c>
      <c r="B31" s="14">
        <f>LoFacingFrame!B31</f>
        <v>2.0859999999999985</v>
      </c>
      <c r="C31" s="14">
        <f>LoFacingFrame!C31</f>
        <v>1.2000000000000028</v>
      </c>
      <c r="D31" s="14">
        <f>LoFacingFrame!D31-(Transformations!$R$67*MidplaneFrame!B31+Transformations!$R$68*MidplaneFrame!C31+Transformations!$R$69)*Transformations!$R$70</f>
        <v>-0.5542520808670114</v>
      </c>
      <c r="E31" s="14">
        <f>LoFacingFrame!E31</f>
        <v>2.117999999999995</v>
      </c>
      <c r="F31" s="14">
        <f>LoFacingFrame!F31</f>
        <v>-62.799</v>
      </c>
      <c r="G31" s="14">
        <f>LoFacingFrame!G31-(Transformations!$R$67*MidplaneFrame!E31+Transformations!$R$68*MidplaneFrame!F31+Transformations!$R$69)*Transformations!$R$70</f>
        <v>0.5506286739879431</v>
      </c>
      <c r="H31" s="14"/>
    </row>
    <row r="32" spans="1:8" ht="10.5">
      <c r="A32">
        <f>LoFacingFrame!A32</f>
        <v>2</v>
      </c>
      <c r="B32" s="14">
        <f>LoFacingFrame!B32</f>
        <v>16.9825</v>
      </c>
      <c r="C32" s="14">
        <f>LoFacingFrame!C32</f>
        <v>1.2000000000000028</v>
      </c>
      <c r="D32" s="14">
        <f>LoFacingFrame!D32-(Transformations!$R$67*MidplaneFrame!B32+Transformations!$R$68*MidplaneFrame!C32+Transformations!$R$69)*Transformations!$R$70</f>
        <v>-0.5574933807479898</v>
      </c>
      <c r="E32" s="14">
        <f>LoFacingFrame!E32</f>
        <v>17.004999999999995</v>
      </c>
      <c r="F32" s="14">
        <f>LoFacingFrame!F32</f>
        <v>-62.798500000000004</v>
      </c>
      <c r="G32" s="14">
        <f>LoFacingFrame!G32-(Transformations!$R$67*MidplaneFrame!E32+Transformations!$R$68*MidplaneFrame!F32+Transformations!$R$69)*Transformations!$R$70</f>
        <v>0.5583866426578261</v>
      </c>
      <c r="H32" s="14"/>
    </row>
    <row r="33" spans="1:8" ht="10.5">
      <c r="A33">
        <f>LoFacingFrame!A33</f>
        <v>3</v>
      </c>
      <c r="B33" s="14">
        <f>LoFacingFrame!B33</f>
        <v>31.879000000000005</v>
      </c>
      <c r="C33" s="14">
        <f>LoFacingFrame!C33</f>
        <v>1.2000000000000028</v>
      </c>
      <c r="D33" s="14">
        <f>LoFacingFrame!D33-(Transformations!$R$67*MidplaneFrame!B33+Transformations!$R$68*MidplaneFrame!C33+Transformations!$R$69)*Transformations!$R$70</f>
        <v>-0.5607346806289683</v>
      </c>
      <c r="E33" s="14">
        <f>LoFacingFrame!E33</f>
        <v>31.891999999999996</v>
      </c>
      <c r="F33" s="14">
        <f>LoFacingFrame!F33</f>
        <v>-62.798</v>
      </c>
      <c r="G33" s="14">
        <f>LoFacingFrame!G33-(Transformations!$R$67*MidplaneFrame!E33+Transformations!$R$68*MidplaneFrame!F33+Transformations!$R$69)*Transformations!$R$70</f>
        <v>0.5661446113277091</v>
      </c>
      <c r="H33" s="14"/>
    </row>
    <row r="34" spans="1:8" ht="10.5">
      <c r="A34">
        <f>LoFacingFrame!A34</f>
        <v>4</v>
      </c>
      <c r="B34" s="14">
        <f>LoFacingFrame!B34</f>
        <v>46.278999999999996</v>
      </c>
      <c r="C34" s="14">
        <f>LoFacingFrame!C34</f>
        <v>1.2000000000000028</v>
      </c>
      <c r="D34" s="14">
        <f>LoFacingFrame!D34-(Transformations!$R$67*MidplaneFrame!B34+Transformations!$R$68*MidplaneFrame!C34+Transformations!$R$69)*Transformations!$R$70</f>
        <v>-0.5495179329557623</v>
      </c>
      <c r="E34" s="14">
        <f>LoFacingFrame!E34</f>
        <v>46.292</v>
      </c>
      <c r="F34" s="14">
        <f>LoFacingFrame!F34</f>
        <v>-62.798</v>
      </c>
      <c r="G34" s="14">
        <f>LoFacingFrame!G34-(Transformations!$R$67*MidplaneFrame!E34+Transformations!$R$68*MidplaneFrame!F34+Transformations!$R$69)*Transformations!$R$70</f>
        <v>0.559361359000915</v>
      </c>
      <c r="H34" s="14"/>
    </row>
    <row r="35" spans="1:8" ht="10.5">
      <c r="A35">
        <f>LoFacingFrame!A35</f>
        <v>5</v>
      </c>
      <c r="B35" s="14">
        <f>LoFacingFrame!B35</f>
        <v>60.679</v>
      </c>
      <c r="C35" s="14">
        <f>LoFacingFrame!C35</f>
        <v>1.2000000000000028</v>
      </c>
      <c r="D35" s="14">
        <f>LoFacingFrame!D35-(Transformations!$R$67*MidplaneFrame!B35+Transformations!$R$68*MidplaneFrame!C35+Transformations!$R$69)*Transformations!$R$70</f>
        <v>-0.5283011852825565</v>
      </c>
      <c r="E35" s="14">
        <f>LoFacingFrame!E35</f>
        <v>60.69199999999999</v>
      </c>
      <c r="F35" s="14">
        <f>LoFacingFrame!F35</f>
        <v>-62.798</v>
      </c>
      <c r="G35" s="14">
        <f>LoFacingFrame!G35-(Transformations!$R$67*MidplaneFrame!E35+Transformations!$R$68*MidplaneFrame!F35+Transformations!$R$69)*Transformations!$R$70</f>
        <v>0.5395781066741209</v>
      </c>
      <c r="H35" s="14"/>
    </row>
    <row r="36" spans="1:8" ht="10.5">
      <c r="A36">
        <f>LoFacingFrame!A36</f>
        <v>6</v>
      </c>
      <c r="B36" s="14">
        <f>LoFacingFrame!B36</f>
        <v>2.0859999999999985</v>
      </c>
      <c r="C36" s="14">
        <f>LoFacingFrame!C36</f>
        <v>16.6</v>
      </c>
      <c r="D36" s="14">
        <f>LoFacingFrame!D36-(Transformations!$R$67*MidplaneFrame!B36+Transformations!$R$68*MidplaneFrame!C36+Transformations!$R$69)*Transformations!$R$70</f>
        <v>-0.5530570775850387</v>
      </c>
      <c r="E36" s="14">
        <f>LoFacingFrame!E36</f>
        <v>2.117999999999995</v>
      </c>
      <c r="F36" s="14">
        <f>LoFacingFrame!F36</f>
        <v>-47.399</v>
      </c>
      <c r="G36" s="14">
        <f>LoFacingFrame!G36-(Transformations!$R$67*MidplaneFrame!E36+Transformations!$R$68*MidplaneFrame!F36+Transformations!$R$69)*Transformations!$R$70</f>
        <v>0.5498236772699157</v>
      </c>
      <c r="H36" s="14"/>
    </row>
    <row r="37" spans="1:8" ht="10.5">
      <c r="A37">
        <f>LoFacingFrame!A37</f>
        <v>7</v>
      </c>
      <c r="B37" s="14">
        <f>LoFacingFrame!B37</f>
        <v>16.9825</v>
      </c>
      <c r="C37" s="14">
        <f>LoFacingFrame!C37</f>
        <v>16.5995</v>
      </c>
      <c r="D37" s="14">
        <f>LoFacingFrame!D37-(Transformations!$R$67*MidplaneFrame!B37+Transformations!$R$68*MidplaneFrame!C37+Transformations!$R$69)*Transformations!$R$70</f>
        <v>-0.5562984487323576</v>
      </c>
      <c r="E37" s="14">
        <f>LoFacingFrame!E37</f>
        <v>17.004999999999995</v>
      </c>
      <c r="F37" s="14">
        <f>LoFacingFrame!F37</f>
        <v>-47.3985</v>
      </c>
      <c r="G37" s="14">
        <f>LoFacingFrame!G37-(Transformations!$R$67*MidplaneFrame!E37+Transformations!$R$68*MidplaneFrame!F37+Transformations!$R$69)*Transformations!$R$70</f>
        <v>0.5510816459397986</v>
      </c>
      <c r="H37" s="14"/>
    </row>
    <row r="38" spans="1:8" ht="10.5">
      <c r="A38">
        <f>LoFacingFrame!A38</f>
        <v>8</v>
      </c>
      <c r="B38" s="14">
        <f>LoFacingFrame!B38</f>
        <v>31.879000000000005</v>
      </c>
      <c r="C38" s="14">
        <f>LoFacingFrame!C38</f>
        <v>16.598999999999997</v>
      </c>
      <c r="D38" s="14">
        <f>LoFacingFrame!D38-(Transformations!$R$67*MidplaneFrame!B38+Transformations!$R$68*MidplaneFrame!C38+Transformations!$R$69)*Transformations!$R$70</f>
        <v>-0.5595398198796763</v>
      </c>
      <c r="E38" s="14">
        <f>LoFacingFrame!E38</f>
        <v>31.891999999999996</v>
      </c>
      <c r="F38" s="14">
        <f>LoFacingFrame!F38</f>
        <v>-47.397999999999996</v>
      </c>
      <c r="G38" s="14">
        <f>LoFacingFrame!G38-(Transformations!$R$67*MidplaneFrame!E38+Transformations!$R$68*MidplaneFrame!F38+Transformations!$R$69)*Transformations!$R$70</f>
        <v>0.5523396146096816</v>
      </c>
      <c r="H38" s="14"/>
    </row>
    <row r="39" spans="1:8" ht="10.5">
      <c r="A39">
        <f>LoFacingFrame!A39</f>
        <v>9</v>
      </c>
      <c r="B39" s="14">
        <f>LoFacingFrame!B39</f>
        <v>46.278999999999996</v>
      </c>
      <c r="C39" s="14">
        <f>LoFacingFrame!C39</f>
        <v>16.6</v>
      </c>
      <c r="D39" s="14">
        <f>LoFacingFrame!D39-(Transformations!$R$67*MidplaneFrame!B39+Transformations!$R$68*MidplaneFrame!C39+Transformations!$R$69)*Transformations!$R$70</f>
        <v>-0.5493229296737898</v>
      </c>
      <c r="E39" s="14">
        <f>LoFacingFrame!E39</f>
        <v>46.292</v>
      </c>
      <c r="F39" s="14">
        <f>LoFacingFrame!F39</f>
        <v>-47.397999999999996</v>
      </c>
      <c r="G39" s="14">
        <f>LoFacingFrame!G39-(Transformations!$R$67*MidplaneFrame!E39+Transformations!$R$68*MidplaneFrame!F39+Transformations!$R$69)*Transformations!$R$70</f>
        <v>0.5405563622828875</v>
      </c>
      <c r="H39" s="14"/>
    </row>
    <row r="40" spans="1:8" ht="10.5">
      <c r="A40">
        <f>LoFacingFrame!A40</f>
        <v>10</v>
      </c>
      <c r="B40" s="14">
        <f>LoFacingFrame!B40</f>
        <v>60.679</v>
      </c>
      <c r="C40" s="14">
        <f>LoFacingFrame!C40</f>
        <v>16.6</v>
      </c>
      <c r="D40" s="14">
        <f>LoFacingFrame!D40-(Transformations!$R$67*MidplaneFrame!B40+Transformations!$R$68*MidplaneFrame!C40+Transformations!$R$69)*Transformations!$R$70</f>
        <v>-0.529106182000584</v>
      </c>
      <c r="E40" s="14">
        <f>LoFacingFrame!E40</f>
        <v>60.69199999999999</v>
      </c>
      <c r="F40" s="14">
        <f>LoFacingFrame!F40</f>
        <v>-47.397999999999996</v>
      </c>
      <c r="G40" s="14">
        <f>LoFacingFrame!G40-(Transformations!$R$67*MidplaneFrame!E40+Transformations!$R$68*MidplaneFrame!F40+Transformations!$R$69)*Transformations!$R$70</f>
        <v>0.5207731099560934</v>
      </c>
      <c r="H40" s="14"/>
    </row>
    <row r="41" spans="1:8" ht="10.5">
      <c r="A41">
        <f>LoFacingFrame!A41</f>
        <v>11</v>
      </c>
      <c r="B41" s="14">
        <f>LoFacingFrame!B41</f>
        <v>2.0859999999999985</v>
      </c>
      <c r="C41" s="14">
        <f>LoFacingFrame!C41</f>
        <v>32</v>
      </c>
      <c r="D41" s="14">
        <f>LoFacingFrame!D41-(Transformations!$R$67*MidplaneFrame!B41+Transformations!$R$68*MidplaneFrame!C41+Transformations!$R$69)*Transformations!$R$70</f>
        <v>-0.5538620743030662</v>
      </c>
      <c r="E41" s="14">
        <f>LoFacingFrame!E41</f>
        <v>2.117999999999995</v>
      </c>
      <c r="F41" s="14">
        <f>LoFacingFrame!F41</f>
        <v>-31.999</v>
      </c>
      <c r="G41" s="14">
        <f>LoFacingFrame!G41-(Transformations!$R$67*MidplaneFrame!E41+Transformations!$R$68*MidplaneFrame!F41+Transformations!$R$69)*Transformations!$R$70</f>
        <v>0.5510186805518882</v>
      </c>
      <c r="H41" s="14"/>
    </row>
    <row r="42" spans="1:8" ht="10.5">
      <c r="A42">
        <f>LoFacingFrame!A42</f>
        <v>12</v>
      </c>
      <c r="B42" s="14">
        <f>LoFacingFrame!B42</f>
        <v>16.9825</v>
      </c>
      <c r="C42" s="14">
        <f>LoFacingFrame!C42</f>
        <v>32</v>
      </c>
      <c r="D42" s="14">
        <f>LoFacingFrame!D42-(Transformations!$R$67*MidplaneFrame!B42+Transformations!$R$68*MidplaneFrame!C42+Transformations!$R$69)*Transformations!$R$70</f>
        <v>-0.5556033741840447</v>
      </c>
      <c r="E42" s="14">
        <f>LoFacingFrame!E42</f>
        <v>17.004999999999995</v>
      </c>
      <c r="F42" s="14">
        <f>LoFacingFrame!F42</f>
        <v>-31.9985</v>
      </c>
      <c r="G42" s="14">
        <f>LoFacingFrame!G42-(Transformations!$R$67*MidplaneFrame!E42+Transformations!$R$68*MidplaneFrame!F42+Transformations!$R$69)*Transformations!$R$70</f>
        <v>0.5542766492217712</v>
      </c>
      <c r="H42" s="14"/>
    </row>
    <row r="43" spans="1:8" ht="10.5">
      <c r="A43">
        <f>LoFacingFrame!A43</f>
        <v>13</v>
      </c>
      <c r="B43" s="14">
        <f>LoFacingFrame!B43</f>
        <v>31.879000000000005</v>
      </c>
      <c r="C43" s="14">
        <f>LoFacingFrame!C43</f>
        <v>32</v>
      </c>
      <c r="D43" s="14">
        <f>LoFacingFrame!D43-(Transformations!$R$67*MidplaneFrame!B43+Transformations!$R$68*MidplaneFrame!C43+Transformations!$R$69)*Transformations!$R$70</f>
        <v>-0.5573446740650231</v>
      </c>
      <c r="E43" s="14">
        <f>LoFacingFrame!E43</f>
        <v>31.891999999999996</v>
      </c>
      <c r="F43" s="14">
        <f>LoFacingFrame!F43</f>
        <v>-31.998</v>
      </c>
      <c r="G43" s="14">
        <f>LoFacingFrame!G43-(Transformations!$R$67*MidplaneFrame!E43+Transformations!$R$68*MidplaneFrame!F43+Transformations!$R$69)*Transformations!$R$70</f>
        <v>0.5575346178916543</v>
      </c>
      <c r="H43" s="14"/>
    </row>
    <row r="44" spans="1:8" ht="10.5">
      <c r="A44">
        <f>LoFacingFrame!A44</f>
        <v>14</v>
      </c>
      <c r="B44" s="14">
        <f>LoFacingFrame!B44</f>
        <v>46.278999999999996</v>
      </c>
      <c r="C44" s="14">
        <f>LoFacingFrame!C44</f>
        <v>32</v>
      </c>
      <c r="D44" s="14">
        <f>LoFacingFrame!D44-(Transformations!$R$67*MidplaneFrame!B44+Transformations!$R$68*MidplaneFrame!C44+Transformations!$R$69)*Transformations!$R$70</f>
        <v>-0.5551279263918173</v>
      </c>
      <c r="E44" s="14">
        <f>LoFacingFrame!E44</f>
        <v>46.292</v>
      </c>
      <c r="F44" s="14">
        <f>LoFacingFrame!F44</f>
        <v>-31.998</v>
      </c>
      <c r="G44" s="14">
        <f>LoFacingFrame!G44-(Transformations!$R$67*MidplaneFrame!E44+Transformations!$R$68*MidplaneFrame!F44+Transformations!$R$69)*Transformations!$R$70</f>
        <v>0.5507513655648602</v>
      </c>
      <c r="H44" s="14"/>
    </row>
    <row r="45" spans="1:8" ht="10.5">
      <c r="A45">
        <f>LoFacingFrame!A45</f>
        <v>15</v>
      </c>
      <c r="B45" s="14">
        <f>LoFacingFrame!B45</f>
        <v>60.679</v>
      </c>
      <c r="C45" s="14">
        <f>LoFacingFrame!C45</f>
        <v>32</v>
      </c>
      <c r="D45" s="14">
        <f>LoFacingFrame!D45-(Transformations!$R$67*MidplaneFrame!B45+Transformations!$R$68*MidplaneFrame!C45+Transformations!$R$69)*Transformations!$R$70</f>
        <v>-0.5329111787186114</v>
      </c>
      <c r="E45" s="14">
        <f>LoFacingFrame!E45</f>
        <v>60.69199999999999</v>
      </c>
      <c r="F45" s="14">
        <f>LoFacingFrame!F45</f>
        <v>-31.998</v>
      </c>
      <c r="G45" s="14">
        <f>LoFacingFrame!G45-(Transformations!$R$67*MidplaneFrame!E45+Transformations!$R$68*MidplaneFrame!F45+Transformations!$R$69)*Transformations!$R$70</f>
        <v>0.529968113238066</v>
      </c>
      <c r="H45" s="14"/>
    </row>
    <row r="46" spans="1:8" ht="10.5">
      <c r="A46">
        <f>LoFacingFrame!A46</f>
        <v>16</v>
      </c>
      <c r="B46" s="14">
        <f>LoFacingFrame!B46</f>
        <v>2.0859999999999985</v>
      </c>
      <c r="C46" s="14">
        <f>LoFacingFrame!C46</f>
        <v>47.4</v>
      </c>
      <c r="D46" s="14">
        <f>LoFacingFrame!D46-(Transformations!$R$67*MidplaneFrame!B46+Transformations!$R$68*MidplaneFrame!C46+Transformations!$R$69)*Transformations!$R$70</f>
        <v>-0.5466670710210937</v>
      </c>
      <c r="E46" s="14">
        <f>LoFacingFrame!E46</f>
        <v>2.117999999999995</v>
      </c>
      <c r="F46" s="14">
        <f>LoFacingFrame!F46</f>
        <v>-16.598999999999997</v>
      </c>
      <c r="G46" s="14">
        <f>LoFacingFrame!G46-(Transformations!$R$67*MidplaneFrame!E46+Transformations!$R$68*MidplaneFrame!F46+Transformations!$R$69)*Transformations!$R$70</f>
        <v>0.5532136838338608</v>
      </c>
      <c r="H46" s="14"/>
    </row>
    <row r="47" spans="1:8" ht="10.5">
      <c r="A47">
        <f>LoFacingFrame!A47</f>
        <v>17</v>
      </c>
      <c r="B47" s="14">
        <f>LoFacingFrame!B47</f>
        <v>16.9825</v>
      </c>
      <c r="C47" s="14">
        <f>LoFacingFrame!C47</f>
        <v>47.4</v>
      </c>
      <c r="D47" s="14">
        <f>LoFacingFrame!D47-(Transformations!$R$67*MidplaneFrame!B47+Transformations!$R$68*MidplaneFrame!C47+Transformations!$R$69)*Transformations!$R$70</f>
        <v>-0.5509083709020721</v>
      </c>
      <c r="E47" s="14">
        <f>LoFacingFrame!E47</f>
        <v>17.004999999999995</v>
      </c>
      <c r="F47" s="14">
        <f>LoFacingFrame!F47</f>
        <v>-16.598499999999998</v>
      </c>
      <c r="G47" s="14">
        <f>LoFacingFrame!G47-(Transformations!$R$67*MidplaneFrame!E47+Transformations!$R$68*MidplaneFrame!F47+Transformations!$R$69)*Transformations!$R$70</f>
        <v>0.5549716525037438</v>
      </c>
      <c r="H47" s="14"/>
    </row>
    <row r="48" spans="1:8" ht="10.5">
      <c r="A48">
        <f>LoFacingFrame!A48</f>
        <v>18</v>
      </c>
      <c r="B48" s="14">
        <f>LoFacingFrame!B48</f>
        <v>31.879000000000005</v>
      </c>
      <c r="C48" s="14">
        <f>LoFacingFrame!C48</f>
        <v>47.4</v>
      </c>
      <c r="D48" s="14">
        <f>LoFacingFrame!D48-(Transformations!$R$67*MidplaneFrame!B48+Transformations!$R$68*MidplaneFrame!C48+Transformations!$R$69)*Transformations!$R$70</f>
        <v>-0.5551496707830506</v>
      </c>
      <c r="E48" s="14">
        <f>LoFacingFrame!E48</f>
        <v>31.891999999999996</v>
      </c>
      <c r="F48" s="14">
        <f>LoFacingFrame!F48</f>
        <v>-16.598</v>
      </c>
      <c r="G48" s="14">
        <f>LoFacingFrame!G48-(Transformations!$R$67*MidplaneFrame!E48+Transformations!$R$68*MidplaneFrame!F48+Transformations!$R$69)*Transformations!$R$70</f>
        <v>0.5567296211736268</v>
      </c>
      <c r="H48" s="14"/>
    </row>
    <row r="49" spans="1:8" ht="10.5">
      <c r="A49">
        <f>LoFacingFrame!A49</f>
        <v>19</v>
      </c>
      <c r="B49" s="14">
        <f>LoFacingFrame!B49</f>
        <v>46.278999999999996</v>
      </c>
      <c r="C49" s="14">
        <f>LoFacingFrame!C49</f>
        <v>47.4</v>
      </c>
      <c r="D49" s="14">
        <f>LoFacingFrame!D49-(Transformations!$R$67*MidplaneFrame!B49+Transformations!$R$68*MidplaneFrame!C49+Transformations!$R$69)*Transformations!$R$70</f>
        <v>-0.5499329231098448</v>
      </c>
      <c r="E49" s="14">
        <f>LoFacingFrame!E49</f>
        <v>46.292</v>
      </c>
      <c r="F49" s="14">
        <f>LoFacingFrame!F49</f>
        <v>-16.598</v>
      </c>
      <c r="G49" s="14">
        <f>LoFacingFrame!G49-(Transformations!$R$67*MidplaneFrame!E49+Transformations!$R$68*MidplaneFrame!F49+Transformations!$R$69)*Transformations!$R$70</f>
        <v>0.5529463688468328</v>
      </c>
      <c r="H49" s="14"/>
    </row>
    <row r="50" spans="1:7" ht="10.5">
      <c r="A50">
        <f>LoFacingFrame!A50</f>
        <v>20</v>
      </c>
      <c r="B50">
        <f>LoFacingFrame!B50</f>
        <v>60.678</v>
      </c>
      <c r="C50">
        <f>LoFacingFrame!C50</f>
        <v>47.4</v>
      </c>
      <c r="D50">
        <f>LoFacingFrame!D50-(Transformations!$R$67*MidplaneFrame!B50+Transformations!$R$68*MidplaneFrame!C50+Transformations!$R$69)*Transformations!$R$70</f>
        <v>-0.5267162599330051</v>
      </c>
      <c r="E50">
        <f>LoFacingFrame!E50</f>
        <v>60.69199999999999</v>
      </c>
      <c r="F50">
        <f>LoFacingFrame!F50</f>
        <v>-16.598</v>
      </c>
      <c r="G50">
        <f>LoFacingFrame!G50-(Transformations!$R$67*MidplaneFrame!E50+Transformations!$R$68*MidplaneFrame!F50+Transformations!$R$69)*Transformations!$R$70</f>
        <v>0.5371631165200386</v>
      </c>
    </row>
    <row r="51" spans="1:7" ht="10.5">
      <c r="A51">
        <f>LoFacingFrame!A51</f>
        <v>21</v>
      </c>
      <c r="B51">
        <f>LoFacingFrame!B51</f>
        <v>2.0859999999999985</v>
      </c>
      <c r="C51">
        <f>LoFacingFrame!C51</f>
        <v>62.8</v>
      </c>
      <c r="D51">
        <f>LoFacingFrame!D51-(Transformations!$R$67*MidplaneFrame!B51+Transformations!$R$68*MidplaneFrame!C51+Transformations!$R$69)*Transformations!$R$70</f>
        <v>-0.5484720677391212</v>
      </c>
      <c r="E51">
        <f>LoFacingFrame!E51</f>
        <v>2.117999999999995</v>
      </c>
      <c r="F51">
        <f>LoFacingFrame!F51</f>
        <v>-1.198999999999998</v>
      </c>
      <c r="G51">
        <f>LoFacingFrame!G51-(Transformations!$R$67*MidplaneFrame!E51+Transformations!$R$68*MidplaneFrame!F51+Transformations!$R$69)*Transformations!$R$70</f>
        <v>0.5554086871158334</v>
      </c>
    </row>
    <row r="52" spans="1:7" ht="10.5">
      <c r="A52">
        <f>LoFacingFrame!A52</f>
        <v>22</v>
      </c>
      <c r="B52">
        <f>LoFacingFrame!B52</f>
        <v>16.9825</v>
      </c>
      <c r="C52">
        <f>LoFacingFrame!C52</f>
        <v>62.7995</v>
      </c>
      <c r="D52">
        <f>LoFacingFrame!D52-(Transformations!$R$67*MidplaneFrame!B52+Transformations!$R$68*MidplaneFrame!C52+Transformations!$R$69)*Transformations!$R$70</f>
        <v>-0.5572134388864399</v>
      </c>
      <c r="E52">
        <f>LoFacingFrame!E52</f>
        <v>17.004999999999995</v>
      </c>
      <c r="F52">
        <f>LoFacingFrame!F52</f>
        <v>-1.1984999999999992</v>
      </c>
      <c r="G52">
        <f>LoFacingFrame!G52-(Transformations!$R$67*MidplaneFrame!E52+Transformations!$R$68*MidplaneFrame!F52+Transformations!$R$69)*Transformations!$R$70</f>
        <v>0.5586666557857165</v>
      </c>
    </row>
    <row r="53" spans="1:7" ht="10.5">
      <c r="A53">
        <f>LoFacingFrame!A53</f>
        <v>23</v>
      </c>
      <c r="B53">
        <f>LoFacingFrame!B53</f>
        <v>31.879000000000005</v>
      </c>
      <c r="C53">
        <f>LoFacingFrame!C53</f>
        <v>62.799</v>
      </c>
      <c r="D53">
        <f>LoFacingFrame!D53-(Transformations!$R$67*MidplaneFrame!B53+Transformations!$R$68*MidplaneFrame!C53+Transformations!$R$69)*Transformations!$R$70</f>
        <v>-0.5659548100337586</v>
      </c>
      <c r="E53">
        <f>LoFacingFrame!E53</f>
        <v>31.891999999999996</v>
      </c>
      <c r="F53">
        <f>LoFacingFrame!F53</f>
        <v>-1.1980000000000004</v>
      </c>
      <c r="G53">
        <f>LoFacingFrame!G53-(Transformations!$R$67*MidplaneFrame!E53+Transformations!$R$68*MidplaneFrame!F53+Transformations!$R$69)*Transformations!$R$70</f>
        <v>0.5619246244555995</v>
      </c>
    </row>
    <row r="54" spans="1:7" ht="10.5">
      <c r="A54">
        <f>LoFacingFrame!A54</f>
        <v>24</v>
      </c>
      <c r="B54">
        <f>LoFacingFrame!B54</f>
        <v>46.278000000000006</v>
      </c>
      <c r="C54">
        <f>LoFacingFrame!C54</f>
        <v>62.8</v>
      </c>
      <c r="D54">
        <f>LoFacingFrame!D54-(Transformations!$R$67*MidplaneFrame!B54+Transformations!$R$68*MidplaneFrame!C54+Transformations!$R$69)*Transformations!$R$70</f>
        <v>-0.5607380043242384</v>
      </c>
      <c r="E54">
        <f>LoFacingFrame!E54</f>
        <v>46.292</v>
      </c>
      <c r="F54">
        <f>LoFacingFrame!F54</f>
        <v>-1.1980000000000004</v>
      </c>
      <c r="G54">
        <f>LoFacingFrame!G54-(Transformations!$R$67*MidplaneFrame!E54+Transformations!$R$68*MidplaneFrame!F54+Transformations!$R$69)*Transformations!$R$70</f>
        <v>0.5541413721288051</v>
      </c>
    </row>
    <row r="55" spans="1:7" ht="10.5">
      <c r="A55">
        <f>LoFacingFrame!A55</f>
        <v>25</v>
      </c>
      <c r="B55">
        <f>LoFacingFrame!B55</f>
        <v>60.679</v>
      </c>
      <c r="C55">
        <f>LoFacingFrame!C55</f>
        <v>62.8</v>
      </c>
      <c r="D55">
        <f>LoFacingFrame!D55-(Transformations!$R$67*MidplaneFrame!B55+Transformations!$R$68*MidplaneFrame!C55+Transformations!$R$69)*Transformations!$R$70</f>
        <v>-0.5455211721546663</v>
      </c>
      <c r="E55">
        <f>LoFacingFrame!E55</f>
        <v>60.691</v>
      </c>
      <c r="F55">
        <f>LoFacingFrame!F55</f>
        <v>-1.1980000000000004</v>
      </c>
      <c r="G55">
        <f>LoFacingFrame!G55-(Transformations!$R$67*MidplaneFrame!E55+Transformations!$R$68*MidplaneFrame!F55+Transformations!$R$69)*Transformations!$R$70</f>
        <v>0.542358035305645</v>
      </c>
    </row>
  </sheetData>
  <printOptions/>
  <pageMargins left="0.75" right="0.75" top="1" bottom="1" header="0.512" footer="0.512"/>
  <pageSetup fitToHeight="1" fitToWidth="1" orientation="portrait" paperSize="9" r:id="rId1"/>
  <headerFooter alignWithMargins="0">
    <oddHeader>&amp;C&amp;F</oddHeader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A22">
      <selection activeCell="M39" sqref="M39"/>
    </sheetView>
  </sheetViews>
  <sheetFormatPr defaultColWidth="9.140625" defaultRowHeight="12"/>
  <cols>
    <col min="1" max="3" width="12.00390625" style="0" customWidth="1"/>
    <col min="4" max="4" width="13.00390625" style="0" customWidth="1"/>
    <col min="5" max="16384" width="12.00390625" style="0" customWidth="1"/>
  </cols>
  <sheetData>
    <row r="1" ht="12">
      <c r="A1" t="s">
        <v>410</v>
      </c>
    </row>
    <row r="2" spans="1:8" ht="12">
      <c r="A2" t="s">
        <v>310</v>
      </c>
      <c r="H2" t="s">
        <v>311</v>
      </c>
    </row>
    <row r="3" spans="1:13" ht="12">
      <c r="A3" t="s">
        <v>387</v>
      </c>
      <c r="B3" s="25">
        <f>AVERAGE(MidplaneFrame!C5:C9,MidplaneFrame!C31:C35)</f>
        <v>1.2000000000000028</v>
      </c>
      <c r="C3" s="25">
        <f>AVERAGE(MidplaneFrame!C10:C14,MidplaneFrame!C36:C40)</f>
        <v>16.599849999999996</v>
      </c>
      <c r="D3" s="25">
        <f>AVERAGE(MidplaneFrame!C15:C19,MidplaneFrame!C41:C45)</f>
        <v>31.999900000000004</v>
      </c>
      <c r="E3" s="25">
        <f>AVERAGE(MidplaneFrame!C20:C24,MidplaneFrame!C46:C50)</f>
        <v>47.39999999999999</v>
      </c>
      <c r="F3" s="25">
        <f>AVERAGE(MidplaneFrame!C25:C29,MidplaneFrame!C51:C55)</f>
        <v>62.799749999999996</v>
      </c>
      <c r="H3" t="str">
        <f aca="true" t="shared" si="0" ref="H3:M3">A3</f>
        <v>x\y</v>
      </c>
      <c r="I3" s="25">
        <f t="shared" si="0"/>
        <v>1.2000000000000028</v>
      </c>
      <c r="J3" s="25">
        <f t="shared" si="0"/>
        <v>16.599849999999996</v>
      </c>
      <c r="K3" s="25">
        <f t="shared" si="0"/>
        <v>31.999900000000004</v>
      </c>
      <c r="L3" s="25">
        <f t="shared" si="0"/>
        <v>47.39999999999999</v>
      </c>
      <c r="M3" s="25">
        <f t="shared" si="0"/>
        <v>62.799749999999996</v>
      </c>
    </row>
    <row r="4" spans="1:13" ht="12">
      <c r="A4" s="25">
        <f>AVERAGE(MidplaneFrame!B5,MidplaneFrame!B10,MidplaneFrame!B15,MidplaneFrame!B20,MidplaneFrame!B25)</f>
        <v>-60.9994</v>
      </c>
      <c r="B4" s="14">
        <f ca="1">INDIRECT(ADDRESS(5+(ROW()-4)+(COLUMN()-2)*5,4,3,TRUE,"MidplaneFrame"))</f>
        <v>-0.5286197538414728</v>
      </c>
      <c r="C4" s="14">
        <f ca="1" t="shared" si="1" ref="C4:F8">INDIRECT(ADDRESS(5+(ROW()-4)+(COLUMN()-2)*5,4,3,TRUE,"MidplaneFrame"))</f>
        <v>-0.520109735843849</v>
      </c>
      <c r="D4" s="14">
        <f ca="1" t="shared" si="1"/>
        <v>-0.5245986247902392</v>
      </c>
      <c r="E4" s="14">
        <f ca="1" t="shared" si="1"/>
        <v>-0.5210886067926155</v>
      </c>
      <c r="F4" s="14">
        <f ca="1" t="shared" si="1"/>
        <v>-0.5325797149690298</v>
      </c>
      <c r="H4" s="25">
        <f aca="true" t="shared" si="2" ref="H4:H13">A4</f>
        <v>-60.9994</v>
      </c>
      <c r="I4" s="14">
        <f ca="1">INDIRECT(ADDRESS(5+(ROW()-4)+(COLUMN()-9)*5,7,3,TRUE,"MidplaneFrame"))</f>
        <v>0.5322596309057932</v>
      </c>
      <c r="J4" s="14">
        <f ca="1" t="shared" si="3" ref="J4:M8">INDIRECT(ADDRESS(5+(ROW()-4)+(COLUMN()-9)*5,7,3,TRUE,"MidplaneFrame"))</f>
        <v>0.5137696157853651</v>
      </c>
      <c r="K4" s="14">
        <f ca="1" t="shared" si="3"/>
        <v>0.5222796669010406</v>
      </c>
      <c r="L4" s="14">
        <f ca="1" t="shared" si="3"/>
        <v>0.5257896517806124</v>
      </c>
      <c r="M4" s="14">
        <f ca="1" t="shared" si="3"/>
        <v>0.522299669778236</v>
      </c>
    </row>
    <row r="5" spans="1:13" ht="12">
      <c r="A5" s="25">
        <f>AVERAGE(MidplaneFrame!B6,MidplaneFrame!B11,MidplaneFrame!B16,MidplaneFrame!B21,MidplaneFrame!B26)</f>
        <v>-46.599399999999996</v>
      </c>
      <c r="B5" s="14">
        <f ca="1">INDIRECT(ADDRESS(5+(ROW()-4)+(COLUMN()-2)*5,4,3,TRUE,"MidplaneFrame"))</f>
        <v>-0.5563586669871351</v>
      </c>
      <c r="C5" s="14">
        <f ca="1" t="shared" si="1"/>
        <v>-0.5438497420454976</v>
      </c>
      <c r="D5" s="14">
        <f ca="1" t="shared" si="1"/>
        <v>-0.5483397240478739</v>
      </c>
      <c r="E5" s="14">
        <f ca="1" t="shared" si="1"/>
        <v>-0.5468297060502503</v>
      </c>
      <c r="F5" s="14">
        <f ca="1" t="shared" si="1"/>
        <v>-0.5553185949966404</v>
      </c>
      <c r="H5" s="25">
        <f t="shared" si="2"/>
        <v>-46.599399999999996</v>
      </c>
      <c r="I5" s="14">
        <f ca="1">INDIRECT(ADDRESS(5+(ROW()-4)+(COLUMN()-9)*5,7,3,TRUE,"MidplaneFrame"))</f>
        <v>0.5605195915860928</v>
      </c>
      <c r="J5" s="14">
        <f ca="1" t="shared" si="3"/>
        <v>0.5460296095837164</v>
      </c>
      <c r="K5" s="14">
        <f ca="1" t="shared" si="3"/>
        <v>0.5465396275813401</v>
      </c>
      <c r="L5" s="14">
        <f ca="1" t="shared" si="3"/>
        <v>0.5480496455789637</v>
      </c>
      <c r="M5" s="14">
        <f ca="1" t="shared" si="3"/>
        <v>0.5515596635765875</v>
      </c>
    </row>
    <row r="6" spans="1:13" ht="12">
      <c r="A6" s="25">
        <f>AVERAGE(MidplaneFrame!B7,MidplaneFrame!B12,MidplaneFrame!B17,MidplaneFrame!B22,MidplaneFrame!B27)</f>
        <v>-32.1998</v>
      </c>
      <c r="B6" s="14">
        <f ca="1">INDIRECT(ADDRESS(5+(ROW()-4)+(COLUMN()-2)*5,4,3,TRUE,"MidplaneFrame"))</f>
        <v>-0.5700986731887836</v>
      </c>
      <c r="C6" s="14">
        <f ca="1" t="shared" si="1"/>
        <v>-0.5605886551911601</v>
      </c>
      <c r="D6" s="14">
        <f ca="1" t="shared" si="1"/>
        <v>-0.5570786371935363</v>
      </c>
      <c r="E6" s="14">
        <f ca="1" t="shared" si="1"/>
        <v>-0.5535686191959126</v>
      </c>
      <c r="F6" s="14">
        <f ca="1" t="shared" si="1"/>
        <v>-0.5640596942542752</v>
      </c>
      <c r="H6" s="25">
        <f t="shared" si="2"/>
        <v>-32.1998</v>
      </c>
      <c r="I6" s="14">
        <f ca="1">INDIRECT(ADDRESS(5+(ROW()-4)+(COLUMN()-9)*5,7,3,TRUE,"MidplaneFrame"))</f>
        <v>0.5747795853844442</v>
      </c>
      <c r="J6" s="14">
        <f ca="1" t="shared" si="3"/>
        <v>0.5582896033820679</v>
      </c>
      <c r="K6" s="14">
        <f ca="1" t="shared" si="3"/>
        <v>0.5607996213796915</v>
      </c>
      <c r="L6" s="14">
        <f ca="1" t="shared" si="3"/>
        <v>0.5593096393773151</v>
      </c>
      <c r="M6" s="14">
        <f ca="1" t="shared" si="3"/>
        <v>0.5628196904929907</v>
      </c>
    </row>
    <row r="7" spans="1:13" ht="12">
      <c r="A7" s="25">
        <f>AVERAGE(MidplaneFrame!B8,MidplaneFrame!B13,MidplaneFrame!B18,MidplaneFrame!B23,MidplaneFrame!B28)</f>
        <v>-17.799799999999998</v>
      </c>
      <c r="B7" s="14">
        <f ca="1">INDIRECT(ADDRESS(5+(ROW()-4)+(COLUMN()-2)*5,4,3,TRUE,"MidplaneFrame"))</f>
        <v>-0.5748386793904323</v>
      </c>
      <c r="C7" s="14">
        <f ca="1" t="shared" si="1"/>
        <v>-0.5603286613928086</v>
      </c>
      <c r="D7" s="14">
        <f ca="1" t="shared" si="1"/>
        <v>-0.561818643395185</v>
      </c>
      <c r="E7" s="14">
        <f ca="1" t="shared" si="1"/>
        <v>-0.5553086253975613</v>
      </c>
      <c r="F7" s="14">
        <f ca="1" t="shared" si="1"/>
        <v>-0.5627997004559238</v>
      </c>
      <c r="H7" s="25">
        <f t="shared" si="2"/>
        <v>-17.799799999999998</v>
      </c>
      <c r="I7" s="14">
        <f ca="1">INDIRECT(ADDRESS(5+(ROW()-4)+(COLUMN()-9)*5,7,3,TRUE,"MidplaneFrame"))</f>
        <v>0.5750396123008472</v>
      </c>
      <c r="J7" s="14">
        <f ca="1" t="shared" si="3"/>
        <v>0.5575495971804193</v>
      </c>
      <c r="K7" s="14">
        <f ca="1" t="shared" si="3"/>
        <v>0.5650596482960948</v>
      </c>
      <c r="L7" s="14">
        <f ca="1" t="shared" si="3"/>
        <v>0.5655696331756667</v>
      </c>
      <c r="M7" s="14">
        <f ca="1" t="shared" si="3"/>
        <v>0.5670796511732902</v>
      </c>
    </row>
    <row r="8" spans="1:13" ht="12">
      <c r="A8" s="25">
        <f>AVERAGE(MidplaneFrame!B9,MidplaneFrame!B14,MidplaneFrame!B19,MidplaneFrame!B24,MidplaneFrame!B29)</f>
        <v>-3.3994</v>
      </c>
      <c r="B8" s="14">
        <f ca="1">INDIRECT(ADDRESS(5+(ROW()-4)+(COLUMN()-2)*5,4,3,TRUE,"MidplaneFrame"))</f>
        <v>-0.5705797786480672</v>
      </c>
      <c r="C8" s="14">
        <f ca="1" t="shared" si="1"/>
        <v>-0.5570697606504434</v>
      </c>
      <c r="D8" s="14">
        <f ca="1" t="shared" si="1"/>
        <v>-0.5575586827148854</v>
      </c>
      <c r="E8" s="14">
        <f ca="1" t="shared" si="1"/>
        <v>-0.5630486315992099</v>
      </c>
      <c r="F8" s="14">
        <f ca="1" t="shared" si="1"/>
        <v>-0.5615397066575725</v>
      </c>
      <c r="H8" s="25">
        <f t="shared" si="2"/>
        <v>-3.3994</v>
      </c>
      <c r="I8" s="14">
        <f ca="1">INDIRECT(ADDRESS(5+(ROW()-4)+(COLUMN()-9)*5,7,3,TRUE,"MidplaneFrame"))</f>
        <v>0.565299572981147</v>
      </c>
      <c r="J8" s="14">
        <f ca="1" t="shared" si="3"/>
        <v>0.5508095909787707</v>
      </c>
      <c r="K8" s="14">
        <f ca="1" t="shared" si="3"/>
        <v>0.5563196089763942</v>
      </c>
      <c r="L8" s="14">
        <f ca="1" t="shared" si="3"/>
        <v>0.5548296269740178</v>
      </c>
      <c r="M8" s="14">
        <f ca="1" t="shared" si="3"/>
        <v>0.5653396449716417</v>
      </c>
    </row>
    <row r="9" spans="1:13" ht="12">
      <c r="A9" s="25">
        <f>AVERAGE(MidplaneFrame!B31,MidplaneFrame!B36,MidplaneFrame!B41,MidplaneFrame!B46,MidplaneFrame!B51)</f>
        <v>2.0859999999999985</v>
      </c>
      <c r="B9" s="14">
        <f ca="1">INDIRECT(ADDRESS(31+(ROW()-9)+(COLUMN()-2)*5,4,3,TRUE,"MidplaneFrame"))</f>
        <v>-0.5542520808670114</v>
      </c>
      <c r="C9" s="14">
        <f ca="1" t="shared" si="4" ref="C9:F13">INDIRECT(ADDRESS(31+(ROW()-9)+(COLUMN()-2)*5,4,3,TRUE,"MidplaneFrame"))</f>
        <v>-0.5530570775850387</v>
      </c>
      <c r="D9" s="14">
        <f ca="1" t="shared" si="4"/>
        <v>-0.5538620743030662</v>
      </c>
      <c r="E9" s="14">
        <f ca="1" t="shared" si="4"/>
        <v>-0.5466670710210937</v>
      </c>
      <c r="F9" s="14">
        <f ca="1" t="shared" si="4"/>
        <v>-0.5484720677391212</v>
      </c>
      <c r="H9" s="25">
        <f t="shared" si="2"/>
        <v>2.0859999999999985</v>
      </c>
      <c r="I9" s="14">
        <f ca="1">INDIRECT(ADDRESS(31+(ROW()-9)+(COLUMN()-9)*5,7,3,TRUE,"MidplaneFrame"))</f>
        <v>0.5506286739879431</v>
      </c>
      <c r="J9" s="14">
        <f ca="1" t="shared" si="5" ref="J9:M13">INDIRECT(ADDRESS(31+(ROW()-9)+(COLUMN()-9)*5,7,3,TRUE,"MidplaneFrame"))</f>
        <v>0.5498236772699157</v>
      </c>
      <c r="K9" s="14">
        <f ca="1" t="shared" si="5"/>
        <v>0.5510186805518882</v>
      </c>
      <c r="L9" s="14">
        <f ca="1" t="shared" si="5"/>
        <v>0.5532136838338608</v>
      </c>
      <c r="M9" s="14">
        <f ca="1" t="shared" si="5"/>
        <v>0.5554086871158334</v>
      </c>
    </row>
    <row r="10" spans="1:13" ht="12">
      <c r="A10" s="25">
        <f>AVERAGE(MidplaneFrame!B32,MidplaneFrame!B37,MidplaneFrame!B42,MidplaneFrame!B47,MidplaneFrame!B52)</f>
        <v>16.9825</v>
      </c>
      <c r="B10" s="14">
        <f ca="1">INDIRECT(ADDRESS(31+(ROW()-9)+(COLUMN()-2)*5,4,3,TRUE,"MidplaneFrame"))</f>
        <v>-0.5574933807479898</v>
      </c>
      <c r="C10" s="14">
        <f ca="1" t="shared" si="4"/>
        <v>-0.5562984487323576</v>
      </c>
      <c r="D10" s="14">
        <f ca="1" t="shared" si="4"/>
        <v>-0.5556033741840447</v>
      </c>
      <c r="E10" s="14">
        <f ca="1" t="shared" si="4"/>
        <v>-0.5509083709020721</v>
      </c>
      <c r="F10" s="14">
        <f ca="1" t="shared" si="4"/>
        <v>-0.5572134388864399</v>
      </c>
      <c r="H10" s="25">
        <f t="shared" si="2"/>
        <v>16.9825</v>
      </c>
      <c r="I10" s="14">
        <f ca="1">INDIRECT(ADDRESS(31+(ROW()-9)+(COLUMN()-9)*5,7,3,TRUE,"MidplaneFrame"))</f>
        <v>0.5583866426578261</v>
      </c>
      <c r="J10" s="14">
        <f ca="1" t="shared" si="5"/>
        <v>0.5510816459397986</v>
      </c>
      <c r="K10" s="14">
        <f ca="1" t="shared" si="5"/>
        <v>0.5542766492217712</v>
      </c>
      <c r="L10" s="14">
        <f ca="1" t="shared" si="5"/>
        <v>0.5549716525037438</v>
      </c>
      <c r="M10" s="14">
        <f ca="1" t="shared" si="5"/>
        <v>0.5586666557857165</v>
      </c>
    </row>
    <row r="11" spans="1:13" ht="12">
      <c r="A11" s="25">
        <f>AVERAGE(MidplaneFrame!B33,MidplaneFrame!B38,MidplaneFrame!B43,MidplaneFrame!B48,MidplaneFrame!B53)</f>
        <v>31.87900000000001</v>
      </c>
      <c r="B11" s="14">
        <f ca="1">INDIRECT(ADDRESS(31+(ROW()-9)+(COLUMN()-2)*5,4,3,TRUE,"MidplaneFrame"))</f>
        <v>-0.5607346806289683</v>
      </c>
      <c r="C11" s="14">
        <f ca="1" t="shared" si="4"/>
        <v>-0.5595398198796763</v>
      </c>
      <c r="D11" s="14">
        <f ca="1" t="shared" si="4"/>
        <v>-0.5573446740650231</v>
      </c>
      <c r="E11" s="14">
        <f ca="1" t="shared" si="4"/>
        <v>-0.5551496707830506</v>
      </c>
      <c r="F11" s="14">
        <f ca="1" t="shared" si="4"/>
        <v>-0.5659548100337586</v>
      </c>
      <c r="H11" s="25">
        <f t="shared" si="2"/>
        <v>31.87900000000001</v>
      </c>
      <c r="I11" s="14">
        <f ca="1">INDIRECT(ADDRESS(31+(ROW()-9)+(COLUMN()-9)*5,7,3,TRUE,"MidplaneFrame"))</f>
        <v>0.5661446113277091</v>
      </c>
      <c r="J11" s="14">
        <f ca="1" t="shared" si="5"/>
        <v>0.5523396146096816</v>
      </c>
      <c r="K11" s="14">
        <f ca="1" t="shared" si="5"/>
        <v>0.5575346178916543</v>
      </c>
      <c r="L11" s="14">
        <f ca="1" t="shared" si="5"/>
        <v>0.5567296211736268</v>
      </c>
      <c r="M11" s="14">
        <f ca="1" t="shared" si="5"/>
        <v>0.5619246244555995</v>
      </c>
    </row>
    <row r="12" spans="1:13" ht="12">
      <c r="A12" s="25">
        <f>AVERAGE(MidplaneFrame!B34,MidplaneFrame!B39,MidplaneFrame!B44,MidplaneFrame!B49,MidplaneFrame!B54)</f>
        <v>46.278800000000004</v>
      </c>
      <c r="B12" s="14">
        <f ca="1">INDIRECT(ADDRESS(31+(ROW()-9)+(COLUMN()-2)*5,4,3,TRUE,"MidplaneFrame"))</f>
        <v>-0.5495179329557623</v>
      </c>
      <c r="C12" s="14">
        <f ca="1" t="shared" si="4"/>
        <v>-0.5493229296737898</v>
      </c>
      <c r="D12" s="14">
        <f ca="1" t="shared" si="4"/>
        <v>-0.5551279263918173</v>
      </c>
      <c r="E12" s="14">
        <f ca="1" t="shared" si="4"/>
        <v>-0.5499329231098448</v>
      </c>
      <c r="F12" s="14">
        <f ca="1" t="shared" si="4"/>
        <v>-0.5607380043242384</v>
      </c>
      <c r="H12" s="25">
        <f t="shared" si="2"/>
        <v>46.278800000000004</v>
      </c>
      <c r="I12" s="14">
        <f ca="1">INDIRECT(ADDRESS(31+(ROW()-9)+(COLUMN()-9)*5,7,3,TRUE,"MidplaneFrame"))</f>
        <v>0.559361359000915</v>
      </c>
      <c r="J12" s="14">
        <f ca="1" t="shared" si="5"/>
        <v>0.5405563622828875</v>
      </c>
      <c r="K12" s="14">
        <f ca="1" t="shared" si="5"/>
        <v>0.5507513655648602</v>
      </c>
      <c r="L12" s="14">
        <f ca="1" t="shared" si="5"/>
        <v>0.5529463688468328</v>
      </c>
      <c r="M12" s="14">
        <f ca="1" t="shared" si="5"/>
        <v>0.5541413721288051</v>
      </c>
    </row>
    <row r="13" spans="1:13" ht="12">
      <c r="A13" s="25">
        <f>AVERAGE(MidplaneFrame!B35,MidplaneFrame!B40,MidplaneFrame!B45,MidplaneFrame!B50,MidplaneFrame!B55)</f>
        <v>60.6788</v>
      </c>
      <c r="B13" s="14">
        <f ca="1">INDIRECT(ADDRESS(31+(ROW()-9)+(COLUMN()-2)*5,4,3,TRUE,"MidplaneFrame"))</f>
        <v>-0.5283011852825565</v>
      </c>
      <c r="C13" s="14">
        <f ca="1" t="shared" si="4"/>
        <v>-0.529106182000584</v>
      </c>
      <c r="D13" s="14">
        <f ca="1" t="shared" si="4"/>
        <v>-0.5329111787186114</v>
      </c>
      <c r="E13" s="14">
        <f ca="1" t="shared" si="4"/>
        <v>-0.5267162599330051</v>
      </c>
      <c r="F13" s="14">
        <f ca="1" t="shared" si="4"/>
        <v>-0.5455211721546663</v>
      </c>
      <c r="H13" s="25">
        <f t="shared" si="2"/>
        <v>60.6788</v>
      </c>
      <c r="I13" s="14">
        <f ca="1">INDIRECT(ADDRESS(31+(ROW()-9)+(COLUMN()-9)*5,7,3,TRUE,"MidplaneFrame"))</f>
        <v>0.5395781066741209</v>
      </c>
      <c r="J13" s="14">
        <f ca="1" t="shared" si="5"/>
        <v>0.5207731099560934</v>
      </c>
      <c r="K13" s="14">
        <f ca="1" t="shared" si="5"/>
        <v>0.529968113238066</v>
      </c>
      <c r="L13" s="14">
        <f ca="1" t="shared" si="5"/>
        <v>0.5371631165200386</v>
      </c>
      <c r="M13" s="14">
        <f ca="1" t="shared" si="5"/>
        <v>0.542358035305645</v>
      </c>
    </row>
  </sheetData>
  <printOptions/>
  <pageMargins left="0.75" right="0.75" top="1" bottom="1" header="0.512" footer="0.512"/>
  <pageSetup fitToHeight="1" fitToWidth="1" orientation="landscape" paperSize="9" scale="92" r:id="rId2"/>
  <headerFooter alignWithMargins="0">
    <oddHeader>&amp;C&amp;F</oddHeader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">
      <selection activeCell="A1" sqref="A1:G84"/>
    </sheetView>
  </sheetViews>
  <sheetFormatPr defaultColWidth="9.140625" defaultRowHeight="12"/>
  <sheetData>
    <row r="1" spans="1:5" ht="10.5">
      <c r="A1" t="s">
        <v>497</v>
      </c>
      <c r="B1" t="s">
        <v>521</v>
      </c>
      <c r="C1" t="s">
        <v>535</v>
      </c>
      <c r="D1" t="s">
        <v>536</v>
      </c>
      <c r="E1" t="s">
        <v>537</v>
      </c>
    </row>
    <row r="2" spans="1:7" ht="10.5">
      <c r="A2" t="s">
        <v>483</v>
      </c>
      <c r="B2" t="s">
        <v>517</v>
      </c>
      <c r="C2" t="s">
        <v>518</v>
      </c>
      <c r="D2" t="s">
        <v>484</v>
      </c>
      <c r="E2" t="s">
        <v>485</v>
      </c>
      <c r="F2" t="s">
        <v>486</v>
      </c>
      <c r="G2" t="s">
        <v>487</v>
      </c>
    </row>
    <row r="3" spans="1:7" ht="10.5">
      <c r="A3" t="s">
        <v>488</v>
      </c>
      <c r="B3" t="s">
        <v>519</v>
      </c>
      <c r="C3" t="s">
        <v>520</v>
      </c>
      <c r="D3" t="s">
        <v>534</v>
      </c>
      <c r="E3" t="s">
        <v>489</v>
      </c>
      <c r="F3" t="s">
        <v>490</v>
      </c>
      <c r="G3" t="s">
        <v>489</v>
      </c>
    </row>
    <row r="4" spans="1:5" ht="10.5">
      <c r="A4">
        <v>1</v>
      </c>
      <c r="B4" t="s">
        <v>491</v>
      </c>
      <c r="C4">
        <v>0.001</v>
      </c>
      <c r="D4">
        <v>0.004</v>
      </c>
      <c r="E4">
        <v>-0.002</v>
      </c>
    </row>
    <row r="5" spans="1:7" ht="10.5">
      <c r="A5">
        <v>2</v>
      </c>
      <c r="B5" t="s">
        <v>492</v>
      </c>
      <c r="E5">
        <v>0</v>
      </c>
      <c r="G5">
        <v>1</v>
      </c>
    </row>
    <row r="6" spans="1:6" ht="10.5">
      <c r="A6">
        <v>3</v>
      </c>
      <c r="B6" t="s">
        <v>493</v>
      </c>
      <c r="C6">
        <v>0</v>
      </c>
      <c r="D6">
        <v>0.001</v>
      </c>
      <c r="E6">
        <v>0.001</v>
      </c>
      <c r="F6">
        <v>0.016</v>
      </c>
    </row>
    <row r="7" spans="1:7" ht="10.5">
      <c r="A7">
        <v>4</v>
      </c>
      <c r="B7" t="s">
        <v>492</v>
      </c>
      <c r="C7">
        <v>0</v>
      </c>
      <c r="D7">
        <v>0</v>
      </c>
      <c r="G7">
        <v>3</v>
      </c>
    </row>
    <row r="8" spans="1:5" ht="10.5">
      <c r="A8">
        <v>5</v>
      </c>
      <c r="B8" t="s">
        <v>491</v>
      </c>
      <c r="C8">
        <v>127.599</v>
      </c>
      <c r="D8">
        <v>0.003</v>
      </c>
      <c r="E8">
        <v>-0.064</v>
      </c>
    </row>
    <row r="9" spans="1:7" ht="10.5">
      <c r="A9">
        <v>6</v>
      </c>
      <c r="B9" t="s">
        <v>492</v>
      </c>
      <c r="E9">
        <v>0</v>
      </c>
      <c r="G9">
        <v>5</v>
      </c>
    </row>
    <row r="10" spans="1:6" ht="10.5">
      <c r="A10">
        <v>7</v>
      </c>
      <c r="B10" t="s">
        <v>493</v>
      </c>
      <c r="C10">
        <v>127.59</v>
      </c>
      <c r="D10">
        <v>0</v>
      </c>
      <c r="E10">
        <v>0</v>
      </c>
      <c r="F10">
        <v>0.016</v>
      </c>
    </row>
    <row r="11" spans="1:7" ht="10.5">
      <c r="A11">
        <v>8</v>
      </c>
      <c r="B11" t="s">
        <v>494</v>
      </c>
      <c r="D11">
        <v>0</v>
      </c>
      <c r="G11">
        <v>7</v>
      </c>
    </row>
    <row r="12" spans="1:6" ht="10.5">
      <c r="A12">
        <v>9</v>
      </c>
      <c r="B12" t="s">
        <v>495</v>
      </c>
      <c r="C12">
        <v>75.569</v>
      </c>
      <c r="D12">
        <v>-20.653</v>
      </c>
      <c r="E12">
        <v>-0.105</v>
      </c>
      <c r="F12">
        <v>-89.975</v>
      </c>
    </row>
    <row r="13" spans="1:7" ht="10.5">
      <c r="A13">
        <v>10</v>
      </c>
      <c r="B13" t="s">
        <v>496</v>
      </c>
      <c r="E13">
        <v>0</v>
      </c>
      <c r="G13">
        <v>9</v>
      </c>
    </row>
    <row r="14" spans="1:5" ht="10.5">
      <c r="A14">
        <v>11</v>
      </c>
      <c r="B14" t="s">
        <v>491</v>
      </c>
      <c r="C14">
        <v>3.001</v>
      </c>
      <c r="D14">
        <v>-0.701</v>
      </c>
      <c r="E14">
        <v>0.142</v>
      </c>
    </row>
    <row r="15" spans="1:5" ht="10.5">
      <c r="A15">
        <v>12</v>
      </c>
      <c r="B15" t="s">
        <v>491</v>
      </c>
      <c r="C15">
        <v>17.4</v>
      </c>
      <c r="D15">
        <v>-0.7</v>
      </c>
      <c r="E15">
        <v>0.149</v>
      </c>
    </row>
    <row r="16" spans="1:5" ht="10.5">
      <c r="A16">
        <v>13</v>
      </c>
      <c r="B16" t="s">
        <v>491</v>
      </c>
      <c r="C16">
        <v>31.801</v>
      </c>
      <c r="D16">
        <v>-0.7</v>
      </c>
      <c r="E16">
        <v>0.142</v>
      </c>
    </row>
    <row r="17" spans="1:5" ht="10.5">
      <c r="A17">
        <v>14</v>
      </c>
      <c r="B17" t="s">
        <v>491</v>
      </c>
      <c r="C17">
        <v>46.201</v>
      </c>
      <c r="D17">
        <v>-0.7</v>
      </c>
      <c r="E17">
        <v>0.125</v>
      </c>
    </row>
    <row r="18" spans="1:5" ht="10.5">
      <c r="A18">
        <v>15</v>
      </c>
      <c r="B18" t="s">
        <v>491</v>
      </c>
      <c r="C18">
        <v>60.601</v>
      </c>
      <c r="D18">
        <v>-0.7</v>
      </c>
      <c r="E18">
        <v>0.108</v>
      </c>
    </row>
    <row r="19" spans="1:5" ht="10.5">
      <c r="A19">
        <v>16</v>
      </c>
      <c r="B19" t="s">
        <v>491</v>
      </c>
      <c r="C19">
        <v>66.086</v>
      </c>
      <c r="D19">
        <v>-0.7</v>
      </c>
      <c r="E19">
        <v>0.099</v>
      </c>
    </row>
    <row r="20" spans="1:5" ht="10.5">
      <c r="A20">
        <v>17</v>
      </c>
      <c r="B20" t="s">
        <v>491</v>
      </c>
      <c r="C20">
        <v>95.879</v>
      </c>
      <c r="D20">
        <v>-0.701</v>
      </c>
      <c r="E20">
        <v>0.119</v>
      </c>
    </row>
    <row r="21" spans="1:5" ht="10.5">
      <c r="A21">
        <v>18</v>
      </c>
      <c r="B21" t="s">
        <v>491</v>
      </c>
      <c r="C21">
        <v>110.278</v>
      </c>
      <c r="D21">
        <v>-0.7</v>
      </c>
      <c r="E21">
        <v>0.115</v>
      </c>
    </row>
    <row r="22" spans="1:5" ht="10.5">
      <c r="A22">
        <v>19</v>
      </c>
      <c r="B22" t="s">
        <v>491</v>
      </c>
      <c r="C22">
        <v>124.679</v>
      </c>
      <c r="D22">
        <v>-0.7</v>
      </c>
      <c r="E22">
        <v>0.101</v>
      </c>
    </row>
    <row r="23" spans="1:5" ht="10.5">
      <c r="A23">
        <v>20</v>
      </c>
      <c r="B23" t="s">
        <v>491</v>
      </c>
      <c r="C23">
        <v>3</v>
      </c>
      <c r="D23">
        <v>-16.1</v>
      </c>
      <c r="E23">
        <v>0.13</v>
      </c>
    </row>
    <row r="24" spans="1:5" ht="10.5">
      <c r="A24">
        <v>21</v>
      </c>
      <c r="B24" t="s">
        <v>491</v>
      </c>
      <c r="C24">
        <v>17.401</v>
      </c>
      <c r="D24">
        <v>-16.1</v>
      </c>
      <c r="E24">
        <v>0.14</v>
      </c>
    </row>
    <row r="25" spans="1:5" ht="10.5">
      <c r="A25">
        <v>22</v>
      </c>
      <c r="B25" t="s">
        <v>491</v>
      </c>
      <c r="C25">
        <v>31.8</v>
      </c>
      <c r="D25">
        <v>-16.1</v>
      </c>
      <c r="E25">
        <v>0.131</v>
      </c>
    </row>
    <row r="26" spans="1:5" ht="10.5">
      <c r="A26">
        <v>23</v>
      </c>
      <c r="B26" t="s">
        <v>491</v>
      </c>
      <c r="C26">
        <v>46.2</v>
      </c>
      <c r="D26">
        <v>-16.1</v>
      </c>
      <c r="E26">
        <v>0.117</v>
      </c>
    </row>
    <row r="27" spans="1:5" ht="10.5">
      <c r="A27">
        <v>24</v>
      </c>
      <c r="B27" t="s">
        <v>491</v>
      </c>
      <c r="C27">
        <v>60.6</v>
      </c>
      <c r="D27">
        <v>-16.1</v>
      </c>
      <c r="E27">
        <v>0.109</v>
      </c>
    </row>
    <row r="28" spans="1:5" ht="10.5">
      <c r="A28">
        <v>25</v>
      </c>
      <c r="B28" t="s">
        <v>491</v>
      </c>
      <c r="C28">
        <v>66.086</v>
      </c>
      <c r="D28">
        <v>-16.1</v>
      </c>
      <c r="E28">
        <v>0.095</v>
      </c>
    </row>
    <row r="29" spans="1:5" ht="10.5">
      <c r="A29">
        <v>26</v>
      </c>
      <c r="B29" t="s">
        <v>491</v>
      </c>
      <c r="C29">
        <v>95.879</v>
      </c>
      <c r="D29">
        <v>-16.1</v>
      </c>
      <c r="E29">
        <v>0.106</v>
      </c>
    </row>
    <row r="30" spans="1:5" ht="10.5">
      <c r="A30">
        <v>27</v>
      </c>
      <c r="B30" t="s">
        <v>491</v>
      </c>
      <c r="C30">
        <v>110.279</v>
      </c>
      <c r="D30">
        <v>-16.1</v>
      </c>
      <c r="E30">
        <v>0.102</v>
      </c>
    </row>
    <row r="31" spans="1:5" ht="10.5">
      <c r="A31">
        <v>28</v>
      </c>
      <c r="B31" t="s">
        <v>491</v>
      </c>
      <c r="C31">
        <v>124.678</v>
      </c>
      <c r="D31">
        <v>-16.1</v>
      </c>
      <c r="E31">
        <v>0.08</v>
      </c>
    </row>
    <row r="32" spans="1:5" ht="10.5">
      <c r="A32">
        <v>29</v>
      </c>
      <c r="B32" t="s">
        <v>491</v>
      </c>
      <c r="C32">
        <v>3</v>
      </c>
      <c r="D32">
        <v>-31.5</v>
      </c>
      <c r="E32">
        <v>0.133</v>
      </c>
    </row>
    <row r="33" spans="1:5" ht="10.5">
      <c r="A33">
        <v>30</v>
      </c>
      <c r="B33" t="s">
        <v>491</v>
      </c>
      <c r="C33">
        <v>17.401</v>
      </c>
      <c r="D33">
        <v>-31.5</v>
      </c>
      <c r="E33">
        <v>0.141</v>
      </c>
    </row>
    <row r="34" spans="1:5" ht="10.5">
      <c r="A34">
        <v>31</v>
      </c>
      <c r="B34" t="s">
        <v>491</v>
      </c>
      <c r="C34">
        <v>31.8</v>
      </c>
      <c r="D34">
        <v>-31.5</v>
      </c>
      <c r="E34">
        <v>0.134</v>
      </c>
    </row>
    <row r="35" spans="1:5" ht="10.5">
      <c r="A35">
        <v>32</v>
      </c>
      <c r="B35" t="s">
        <v>491</v>
      </c>
      <c r="C35">
        <v>46.2</v>
      </c>
      <c r="D35">
        <v>-31.5</v>
      </c>
      <c r="E35">
        <v>0.123</v>
      </c>
    </row>
    <row r="36" spans="1:5" ht="10.5">
      <c r="A36">
        <v>33</v>
      </c>
      <c r="B36" t="s">
        <v>491</v>
      </c>
      <c r="C36">
        <v>60.6</v>
      </c>
      <c r="D36">
        <v>-31.501</v>
      </c>
      <c r="E36">
        <v>0.103</v>
      </c>
    </row>
    <row r="37" spans="1:5" ht="10.5">
      <c r="A37">
        <v>34</v>
      </c>
      <c r="B37" t="s">
        <v>491</v>
      </c>
      <c r="C37">
        <v>66.086</v>
      </c>
      <c r="D37">
        <v>-31.5</v>
      </c>
      <c r="E37">
        <v>0.1</v>
      </c>
    </row>
    <row r="38" spans="1:5" ht="10.5">
      <c r="A38">
        <v>35</v>
      </c>
      <c r="B38" t="s">
        <v>491</v>
      </c>
      <c r="C38">
        <v>95.879</v>
      </c>
      <c r="D38">
        <v>-31.5</v>
      </c>
      <c r="E38">
        <v>0.106</v>
      </c>
    </row>
    <row r="39" spans="1:5" ht="10.5">
      <c r="A39">
        <v>36</v>
      </c>
      <c r="B39" t="s">
        <v>491</v>
      </c>
      <c r="C39">
        <v>110.279</v>
      </c>
      <c r="D39">
        <v>-31.5</v>
      </c>
      <c r="E39">
        <v>0.105</v>
      </c>
    </row>
    <row r="40" spans="1:5" ht="10.5">
      <c r="A40">
        <v>37</v>
      </c>
      <c r="B40" t="s">
        <v>491</v>
      </c>
      <c r="C40">
        <v>124.679</v>
      </c>
      <c r="D40">
        <v>-31.5</v>
      </c>
      <c r="E40">
        <v>0.084</v>
      </c>
    </row>
    <row r="41" spans="1:5" ht="10.5">
      <c r="A41">
        <v>38</v>
      </c>
      <c r="B41" t="s">
        <v>491</v>
      </c>
      <c r="C41">
        <v>3.001</v>
      </c>
      <c r="D41">
        <v>-46.9</v>
      </c>
      <c r="E41">
        <v>0.128</v>
      </c>
    </row>
    <row r="42" spans="1:5" ht="10.5">
      <c r="A42">
        <v>39</v>
      </c>
      <c r="B42" t="s">
        <v>491</v>
      </c>
      <c r="C42">
        <v>17.401</v>
      </c>
      <c r="D42">
        <v>-46.9</v>
      </c>
      <c r="E42">
        <v>0.136</v>
      </c>
    </row>
    <row r="43" spans="1:5" ht="10.5">
      <c r="A43">
        <v>40</v>
      </c>
      <c r="B43" t="s">
        <v>491</v>
      </c>
      <c r="C43">
        <v>31.8</v>
      </c>
      <c r="D43">
        <v>-46.9</v>
      </c>
      <c r="E43">
        <v>0.137</v>
      </c>
    </row>
    <row r="44" spans="1:5" ht="10.5">
      <c r="A44">
        <v>41</v>
      </c>
      <c r="B44" t="s">
        <v>491</v>
      </c>
      <c r="C44">
        <v>46.2</v>
      </c>
      <c r="D44">
        <v>-46.9</v>
      </c>
      <c r="E44">
        <v>0.121</v>
      </c>
    </row>
    <row r="45" spans="1:5" ht="10.5">
      <c r="A45">
        <v>42</v>
      </c>
      <c r="B45" t="s">
        <v>491</v>
      </c>
      <c r="C45">
        <v>60.601</v>
      </c>
      <c r="D45">
        <v>-46.9</v>
      </c>
      <c r="E45">
        <v>0.102</v>
      </c>
    </row>
    <row r="46" spans="1:5" ht="10.5">
      <c r="A46">
        <v>43</v>
      </c>
      <c r="B46" t="s">
        <v>491</v>
      </c>
      <c r="C46">
        <v>66.086</v>
      </c>
      <c r="D46">
        <v>-46.9</v>
      </c>
      <c r="E46">
        <v>0.097</v>
      </c>
    </row>
    <row r="47" spans="1:5" ht="10.5">
      <c r="A47">
        <v>44</v>
      </c>
      <c r="B47" t="s">
        <v>491</v>
      </c>
      <c r="C47">
        <v>95.879</v>
      </c>
      <c r="D47">
        <v>-46.901</v>
      </c>
      <c r="E47">
        <v>0.106</v>
      </c>
    </row>
    <row r="48" spans="1:5" ht="10.5">
      <c r="A48">
        <v>45</v>
      </c>
      <c r="B48" t="s">
        <v>491</v>
      </c>
      <c r="C48">
        <v>110.279</v>
      </c>
      <c r="D48">
        <v>-46.9</v>
      </c>
      <c r="E48">
        <v>0.097</v>
      </c>
    </row>
    <row r="49" spans="1:5" ht="10.5">
      <c r="A49">
        <v>46</v>
      </c>
      <c r="B49" t="s">
        <v>491</v>
      </c>
      <c r="C49">
        <v>124.679</v>
      </c>
      <c r="D49">
        <v>-46.9</v>
      </c>
      <c r="E49">
        <v>0.078</v>
      </c>
    </row>
    <row r="50" spans="1:5" ht="10.5">
      <c r="A50">
        <v>47</v>
      </c>
      <c r="B50" t="s">
        <v>491</v>
      </c>
      <c r="C50">
        <v>3.001</v>
      </c>
      <c r="D50">
        <v>-62.3</v>
      </c>
      <c r="E50">
        <v>0.136</v>
      </c>
    </row>
    <row r="51" spans="1:5" ht="10.5">
      <c r="A51">
        <v>48</v>
      </c>
      <c r="B51" t="s">
        <v>491</v>
      </c>
      <c r="C51">
        <v>17.4</v>
      </c>
      <c r="D51">
        <v>-62.3</v>
      </c>
      <c r="E51">
        <v>0.148</v>
      </c>
    </row>
    <row r="52" spans="1:5" ht="10.5">
      <c r="A52">
        <v>49</v>
      </c>
      <c r="B52" t="s">
        <v>491</v>
      </c>
      <c r="C52">
        <v>31.8</v>
      </c>
      <c r="D52">
        <v>-62.3</v>
      </c>
      <c r="E52">
        <v>0.146</v>
      </c>
    </row>
    <row r="53" spans="1:5" ht="10.5">
      <c r="A53">
        <v>50</v>
      </c>
      <c r="B53" t="s">
        <v>491</v>
      </c>
      <c r="C53">
        <v>46.2</v>
      </c>
      <c r="D53">
        <v>-62.3</v>
      </c>
      <c r="E53">
        <v>0.135</v>
      </c>
    </row>
    <row r="54" spans="1:5" ht="10.5">
      <c r="A54">
        <v>51</v>
      </c>
      <c r="B54" t="s">
        <v>491</v>
      </c>
      <c r="C54">
        <v>60.601</v>
      </c>
      <c r="D54">
        <v>-62.3</v>
      </c>
      <c r="E54">
        <v>0.115</v>
      </c>
    </row>
    <row r="55" spans="1:5" ht="10.5">
      <c r="A55">
        <v>52</v>
      </c>
      <c r="B55" t="s">
        <v>491</v>
      </c>
      <c r="C55">
        <v>66.086</v>
      </c>
      <c r="D55">
        <v>-62.3</v>
      </c>
      <c r="E55">
        <v>0.096</v>
      </c>
    </row>
    <row r="56" spans="1:5" ht="10.5">
      <c r="A56">
        <v>53</v>
      </c>
      <c r="B56" t="s">
        <v>491</v>
      </c>
      <c r="C56">
        <v>95.879</v>
      </c>
      <c r="D56">
        <v>-62.3</v>
      </c>
      <c r="E56">
        <v>0.105</v>
      </c>
    </row>
    <row r="57" spans="1:5" ht="10.5">
      <c r="A57">
        <v>54</v>
      </c>
      <c r="B57" t="s">
        <v>491</v>
      </c>
      <c r="C57">
        <v>110.279</v>
      </c>
      <c r="D57">
        <v>-62.3</v>
      </c>
      <c r="E57">
        <v>0.095</v>
      </c>
    </row>
    <row r="58" spans="1:5" ht="10.5">
      <c r="A58">
        <v>55</v>
      </c>
      <c r="B58" t="s">
        <v>491</v>
      </c>
      <c r="C58">
        <v>124.679</v>
      </c>
      <c r="D58">
        <v>-62.3</v>
      </c>
      <c r="E58">
        <v>0.075</v>
      </c>
    </row>
    <row r="59" spans="1:5" ht="10.5">
      <c r="A59">
        <v>56</v>
      </c>
      <c r="B59" t="s">
        <v>491</v>
      </c>
      <c r="C59">
        <v>69.498</v>
      </c>
      <c r="D59">
        <v>2.667</v>
      </c>
      <c r="E59">
        <v>1.1</v>
      </c>
    </row>
    <row r="60" spans="1:5" ht="10.5">
      <c r="A60">
        <v>57</v>
      </c>
      <c r="B60" t="s">
        <v>491</v>
      </c>
      <c r="C60">
        <v>81.14</v>
      </c>
      <c r="D60">
        <v>2.977</v>
      </c>
      <c r="E60">
        <v>1.132</v>
      </c>
    </row>
    <row r="61" spans="1:5" ht="10.5">
      <c r="A61">
        <v>58</v>
      </c>
      <c r="B61" t="s">
        <v>491</v>
      </c>
      <c r="C61">
        <v>72.097</v>
      </c>
      <c r="D61">
        <v>-30.101</v>
      </c>
      <c r="E61">
        <v>1.136</v>
      </c>
    </row>
    <row r="62" spans="1:5" ht="10.5">
      <c r="A62">
        <v>59</v>
      </c>
      <c r="B62" t="s">
        <v>491</v>
      </c>
      <c r="C62">
        <v>88.926</v>
      </c>
      <c r="D62">
        <v>-29.677</v>
      </c>
      <c r="E62">
        <v>1.122</v>
      </c>
    </row>
    <row r="63" spans="1:5" ht="10.5">
      <c r="A63">
        <v>60</v>
      </c>
      <c r="B63" t="s">
        <v>491</v>
      </c>
      <c r="C63">
        <v>69.478</v>
      </c>
      <c r="D63">
        <v>-65.919</v>
      </c>
      <c r="E63">
        <v>1.094</v>
      </c>
    </row>
    <row r="64" spans="1:5" ht="10.5">
      <c r="A64">
        <v>61</v>
      </c>
      <c r="B64" t="s">
        <v>491</v>
      </c>
      <c r="C64">
        <v>89.109</v>
      </c>
      <c r="D64">
        <v>-65.799</v>
      </c>
      <c r="E64">
        <v>1.094</v>
      </c>
    </row>
    <row r="65" spans="1:5" ht="10.5">
      <c r="A65">
        <v>62</v>
      </c>
      <c r="B65" t="s">
        <v>491</v>
      </c>
      <c r="C65">
        <v>72.925</v>
      </c>
      <c r="D65">
        <v>-64.741</v>
      </c>
      <c r="E65">
        <v>2.343</v>
      </c>
    </row>
    <row r="66" spans="1:5" ht="10.5">
      <c r="A66">
        <v>63</v>
      </c>
      <c r="B66" t="s">
        <v>491</v>
      </c>
      <c r="C66">
        <v>83.64</v>
      </c>
      <c r="D66">
        <v>-64.906</v>
      </c>
      <c r="E66">
        <v>2.358</v>
      </c>
    </row>
    <row r="67" spans="1:5" ht="10.5">
      <c r="A67">
        <v>64</v>
      </c>
      <c r="B67" t="s">
        <v>491</v>
      </c>
      <c r="C67">
        <v>71.433</v>
      </c>
      <c r="D67">
        <v>-67.626</v>
      </c>
      <c r="E67">
        <v>2.208</v>
      </c>
    </row>
    <row r="68" spans="1:5" ht="10.5">
      <c r="A68">
        <v>65</v>
      </c>
      <c r="B68" t="s">
        <v>491</v>
      </c>
      <c r="C68">
        <v>66.697</v>
      </c>
      <c r="D68">
        <v>-66.311</v>
      </c>
      <c r="E68">
        <v>-0.002</v>
      </c>
    </row>
    <row r="69" spans="1:5" ht="10.5">
      <c r="A69">
        <v>66</v>
      </c>
      <c r="B69" t="s">
        <v>491</v>
      </c>
      <c r="C69">
        <v>67.65</v>
      </c>
      <c r="D69">
        <v>-66.291</v>
      </c>
      <c r="E69">
        <v>-0.007</v>
      </c>
    </row>
    <row r="70" spans="1:5" ht="10.5">
      <c r="A70">
        <v>67</v>
      </c>
      <c r="B70" t="s">
        <v>491</v>
      </c>
      <c r="C70">
        <v>67.217</v>
      </c>
      <c r="D70">
        <v>-67.165</v>
      </c>
      <c r="E70">
        <v>0</v>
      </c>
    </row>
    <row r="71" spans="1:5" ht="10.5">
      <c r="A71">
        <v>68</v>
      </c>
      <c r="B71" t="s">
        <v>491</v>
      </c>
      <c r="C71">
        <v>63.004</v>
      </c>
      <c r="D71">
        <v>2.941</v>
      </c>
      <c r="E71">
        <v>0.001</v>
      </c>
    </row>
    <row r="72" spans="1:5" ht="10.5">
      <c r="A72">
        <v>69</v>
      </c>
      <c r="B72" t="s">
        <v>491</v>
      </c>
      <c r="C72">
        <v>63.004</v>
      </c>
      <c r="D72">
        <v>8.948</v>
      </c>
      <c r="E72">
        <v>0.007</v>
      </c>
    </row>
    <row r="73" spans="1:5" ht="10.5">
      <c r="A73">
        <v>70</v>
      </c>
      <c r="B73" t="s">
        <v>491</v>
      </c>
      <c r="C73">
        <v>63.003</v>
      </c>
      <c r="D73">
        <v>14.954</v>
      </c>
      <c r="E73">
        <v>0.013</v>
      </c>
    </row>
    <row r="74" spans="1:5" ht="10.5">
      <c r="A74">
        <v>71</v>
      </c>
      <c r="B74" t="s">
        <v>491</v>
      </c>
      <c r="C74">
        <v>66.004</v>
      </c>
      <c r="D74">
        <v>14.952</v>
      </c>
      <c r="E74">
        <v>0.013</v>
      </c>
    </row>
    <row r="75" spans="1:5" ht="10.5">
      <c r="A75">
        <v>72</v>
      </c>
      <c r="B75" t="s">
        <v>491</v>
      </c>
      <c r="C75">
        <v>66.004</v>
      </c>
      <c r="D75">
        <v>8.953</v>
      </c>
      <c r="E75">
        <v>0.018</v>
      </c>
    </row>
    <row r="76" spans="1:5" ht="10.5">
      <c r="A76">
        <v>73</v>
      </c>
      <c r="B76" t="s">
        <v>491</v>
      </c>
      <c r="C76">
        <v>66.004</v>
      </c>
      <c r="D76">
        <v>2.944</v>
      </c>
      <c r="E76">
        <v>0.005</v>
      </c>
    </row>
    <row r="77" spans="1:5" ht="10.5">
      <c r="A77">
        <v>74</v>
      </c>
      <c r="B77" t="s">
        <v>491</v>
      </c>
      <c r="C77">
        <v>92.002</v>
      </c>
      <c r="D77">
        <v>2.967</v>
      </c>
      <c r="E77">
        <v>-0.002</v>
      </c>
    </row>
    <row r="78" spans="1:5" ht="10.5">
      <c r="A78">
        <v>75</v>
      </c>
      <c r="B78" t="s">
        <v>491</v>
      </c>
      <c r="C78">
        <v>92.002</v>
      </c>
      <c r="D78">
        <v>8.972</v>
      </c>
      <c r="E78">
        <v>0.004</v>
      </c>
    </row>
    <row r="79" spans="1:5" ht="10.5">
      <c r="A79">
        <v>76</v>
      </c>
      <c r="B79" t="s">
        <v>491</v>
      </c>
      <c r="C79">
        <v>92.002</v>
      </c>
      <c r="D79">
        <v>14.973</v>
      </c>
      <c r="E79">
        <v>0.007</v>
      </c>
    </row>
    <row r="80" spans="1:5" ht="10.5">
      <c r="A80">
        <v>77</v>
      </c>
      <c r="B80" t="s">
        <v>491</v>
      </c>
      <c r="C80">
        <v>95.002</v>
      </c>
      <c r="D80">
        <v>14.969</v>
      </c>
      <c r="E80">
        <v>0.004</v>
      </c>
    </row>
    <row r="81" spans="1:5" ht="10.5">
      <c r="A81">
        <v>78</v>
      </c>
      <c r="B81" t="s">
        <v>491</v>
      </c>
      <c r="C81">
        <v>95.002</v>
      </c>
      <c r="D81">
        <v>8.97</v>
      </c>
      <c r="E81">
        <v>0.005</v>
      </c>
    </row>
    <row r="82" spans="1:5" ht="10.5">
      <c r="A82">
        <v>79</v>
      </c>
      <c r="B82" t="s">
        <v>491</v>
      </c>
      <c r="C82">
        <v>95.002</v>
      </c>
      <c r="D82">
        <v>2.969</v>
      </c>
      <c r="E82">
        <v>0.001</v>
      </c>
    </row>
    <row r="83" spans="1:5" ht="10.5">
      <c r="A83">
        <v>80</v>
      </c>
      <c r="B83" t="s">
        <v>491</v>
      </c>
      <c r="C83">
        <v>79.001</v>
      </c>
      <c r="D83">
        <v>8.957</v>
      </c>
      <c r="E83">
        <v>0.012</v>
      </c>
    </row>
    <row r="84" spans="1:5" ht="10.5">
      <c r="A84">
        <v>81</v>
      </c>
      <c r="B84" t="s">
        <v>491</v>
      </c>
      <c r="C84">
        <v>79.001</v>
      </c>
      <c r="D84">
        <v>14.961</v>
      </c>
      <c r="E84">
        <v>0.015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workbookViewId="0" topLeftCell="A1">
      <selection activeCell="A6" sqref="A6"/>
    </sheetView>
  </sheetViews>
  <sheetFormatPr defaultColWidth="9.140625" defaultRowHeight="12"/>
  <cols>
    <col min="1" max="16384" width="12.00390625" style="0" customWidth="1"/>
  </cols>
  <sheetData>
    <row r="1" ht="10.5">
      <c r="A1" t="s">
        <v>411</v>
      </c>
    </row>
    <row r="2" spans="1:7" ht="10.5">
      <c r="A2" t="s">
        <v>412</v>
      </c>
      <c r="B2" s="26">
        <f>MidplaneThickness!H9</f>
        <v>1.118083333333333</v>
      </c>
      <c r="D2">
        <f>-B2/2</f>
        <v>-0.5590416666666665</v>
      </c>
      <c r="G2">
        <f>B2/2</f>
        <v>0.5590416666666665</v>
      </c>
    </row>
    <row r="3" spans="2:7" ht="10.5">
      <c r="B3" t="str">
        <f>LoFacingFrame!B3</f>
        <v>Lower</v>
      </c>
      <c r="D3" t="s">
        <v>413</v>
      </c>
      <c r="E3" t="str">
        <f>LoFacingFrame!E3</f>
        <v>Upper</v>
      </c>
      <c r="G3" t="s">
        <v>414</v>
      </c>
    </row>
    <row r="4" spans="1:7" ht="10.5">
      <c r="A4" t="str">
        <f>MidplaneFrame!A4</f>
        <v>LeftSensor</v>
      </c>
      <c r="B4" t="str">
        <f>MidplaneFrame!B4</f>
        <v>x</v>
      </c>
      <c r="C4" t="str">
        <f>MidplaneFrame!C4</f>
        <v>y</v>
      </c>
      <c r="D4" t="str">
        <f>MidplaneFrame!D4</f>
        <v>z</v>
      </c>
      <c r="E4" t="str">
        <f>MidplaneFrame!E4</f>
        <v>x</v>
      </c>
      <c r="F4" t="str">
        <f>MidplaneFrame!F4</f>
        <v>y</v>
      </c>
      <c r="G4" t="str">
        <f>MidplaneFrame!G4</f>
        <v>z</v>
      </c>
    </row>
    <row r="5" spans="1:7" ht="10.5">
      <c r="A5">
        <f>MidplaneFrame!A5</f>
        <v>1</v>
      </c>
      <c r="B5">
        <f>MidplaneFrame!B5</f>
        <v>-60.999</v>
      </c>
      <c r="C5">
        <f>MidplaneFrame!C5</f>
        <v>1.2000000000000028</v>
      </c>
      <c r="D5">
        <f>MidplaneFrame!D5-OptimalFrame!$D$2</f>
        <v>0.030421912825193798</v>
      </c>
      <c r="E5">
        <f>MidplaneFrame!E5</f>
        <v>-60.998</v>
      </c>
      <c r="F5">
        <f>MidplaneFrame!F5</f>
        <v>-62.799</v>
      </c>
      <c r="G5">
        <f>MidplaneFrame!G5-OptimalFrame!$G$2</f>
        <v>-0.026782035760873346</v>
      </c>
    </row>
    <row r="6" spans="1:7" ht="10.5">
      <c r="A6">
        <f>MidplaneFrame!A6</f>
        <v>2</v>
      </c>
      <c r="B6">
        <f>MidplaneFrame!B6</f>
        <v>-46.6</v>
      </c>
      <c r="C6">
        <f>MidplaneFrame!C6</f>
        <v>1.2000000000000028</v>
      </c>
      <c r="D6">
        <f>MidplaneFrame!D6-OptimalFrame!$D$2</f>
        <v>0.0026829996795314504</v>
      </c>
      <c r="E6">
        <f>MidplaneFrame!E6</f>
        <v>-46.598</v>
      </c>
      <c r="F6">
        <f>MidplaneFrame!F6</f>
        <v>-62.8</v>
      </c>
      <c r="G6">
        <f>MidplaneFrame!G6-OptimalFrame!$G$2</f>
        <v>0.0014779249194262212</v>
      </c>
    </row>
    <row r="7" spans="1:7" ht="10.5">
      <c r="A7">
        <f>MidplaneFrame!A7</f>
        <v>3</v>
      </c>
      <c r="B7">
        <f>MidplaneFrame!B7</f>
        <v>-32.2</v>
      </c>
      <c r="C7">
        <f>MidplaneFrame!C7</f>
        <v>1.2000000000000028</v>
      </c>
      <c r="D7">
        <f>MidplaneFrame!D7-OptimalFrame!$D$2</f>
        <v>-0.011057006522117052</v>
      </c>
      <c r="E7">
        <f>MidplaneFrame!E7</f>
        <v>-32.198</v>
      </c>
      <c r="F7">
        <f>MidplaneFrame!F7</f>
        <v>-62.8</v>
      </c>
      <c r="G7">
        <f>MidplaneFrame!G7-OptimalFrame!$G$2</f>
        <v>0.015737918717777633</v>
      </c>
    </row>
    <row r="8" spans="1:7" ht="10.5">
      <c r="A8">
        <f>MidplaneFrame!A8</f>
        <v>4</v>
      </c>
      <c r="B8">
        <f>MidplaneFrame!B8</f>
        <v>-17.799999999999997</v>
      </c>
      <c r="C8">
        <f>MidplaneFrame!C8</f>
        <v>1.2000000000000028</v>
      </c>
      <c r="D8">
        <f>MidplaneFrame!D8-OptimalFrame!$D$2</f>
        <v>-0.01579701272376577</v>
      </c>
      <c r="E8">
        <f>MidplaneFrame!E8</f>
        <v>-17.798000000000002</v>
      </c>
      <c r="F8">
        <f>MidplaneFrame!F8</f>
        <v>-62.799</v>
      </c>
      <c r="G8">
        <f>MidplaneFrame!G8-OptimalFrame!$G$2</f>
        <v>0.015997945634180666</v>
      </c>
    </row>
    <row r="9" spans="1:7" ht="10.5">
      <c r="A9">
        <f>MidplaneFrame!A9</f>
        <v>5</v>
      </c>
      <c r="B9">
        <f>MidplaneFrame!B9</f>
        <v>-3.399000000000001</v>
      </c>
      <c r="C9">
        <f>MidplaneFrame!C9</f>
        <v>1.2000000000000028</v>
      </c>
      <c r="D9">
        <f>MidplaneFrame!D9-OptimalFrame!$D$2</f>
        <v>-0.011538111981400645</v>
      </c>
      <c r="E9">
        <f>MidplaneFrame!E9</f>
        <v>-3.3980000000000032</v>
      </c>
      <c r="F9">
        <f>MidplaneFrame!F9</f>
        <v>-62.8</v>
      </c>
      <c r="G9">
        <f>MidplaneFrame!G9-OptimalFrame!$G$2</f>
        <v>0.0062579063144804215</v>
      </c>
    </row>
    <row r="10" spans="1:7" ht="10.5">
      <c r="A10">
        <f>MidplaneFrame!A10</f>
        <v>6</v>
      </c>
      <c r="B10">
        <f>MidplaneFrame!B10</f>
        <v>-60.999</v>
      </c>
      <c r="C10">
        <f>MidplaneFrame!C10</f>
        <v>16.6</v>
      </c>
      <c r="D10">
        <f>MidplaneFrame!D10-OptimalFrame!$D$2</f>
        <v>0.03893193082281754</v>
      </c>
      <c r="E10">
        <f>MidplaneFrame!E10</f>
        <v>-60.998</v>
      </c>
      <c r="F10">
        <f>MidplaneFrame!F10</f>
        <v>-47.4</v>
      </c>
      <c r="G10">
        <f>MidplaneFrame!G10-OptimalFrame!$G$2</f>
        <v>-0.045272050881301484</v>
      </c>
    </row>
    <row r="11" spans="1:7" ht="10.5">
      <c r="A11">
        <f>MidplaneFrame!A11</f>
        <v>7</v>
      </c>
      <c r="B11">
        <f>MidplaneFrame!B11</f>
        <v>-46.599000000000004</v>
      </c>
      <c r="C11">
        <f>MidplaneFrame!C11</f>
        <v>16.6</v>
      </c>
      <c r="D11">
        <f>MidplaneFrame!D11-OptimalFrame!$D$2</f>
        <v>0.015191924621168917</v>
      </c>
      <c r="E11">
        <f>MidplaneFrame!E11</f>
        <v>-46.598</v>
      </c>
      <c r="F11">
        <f>MidplaneFrame!F11</f>
        <v>-47.4</v>
      </c>
      <c r="G11">
        <f>MidplaneFrame!G11-OptimalFrame!$G$2</f>
        <v>-0.013012057082950168</v>
      </c>
    </row>
    <row r="12" spans="1:7" ht="10.5">
      <c r="A12">
        <f>MidplaneFrame!A12</f>
        <v>8</v>
      </c>
      <c r="B12">
        <f>MidplaneFrame!B12</f>
        <v>-32.2</v>
      </c>
      <c r="C12">
        <f>MidplaneFrame!C12</f>
        <v>16.6</v>
      </c>
      <c r="D12">
        <f>MidplaneFrame!D12-OptimalFrame!$D$2</f>
        <v>-0.001546988524493531</v>
      </c>
      <c r="E12">
        <f>MidplaneFrame!E12</f>
        <v>-32.198</v>
      </c>
      <c r="F12">
        <f>MidplaneFrame!F12</f>
        <v>-47.4</v>
      </c>
      <c r="G12">
        <f>MidplaneFrame!G12-OptimalFrame!$G$2</f>
        <v>-0.0007520632845986475</v>
      </c>
    </row>
    <row r="13" spans="1:7" ht="10.5">
      <c r="A13">
        <f>MidplaneFrame!A13</f>
        <v>9</v>
      </c>
      <c r="B13">
        <f>MidplaneFrame!B13</f>
        <v>-17.799999999999997</v>
      </c>
      <c r="C13">
        <f>MidplaneFrame!C13</f>
        <v>16.6</v>
      </c>
      <c r="D13">
        <f>MidplaneFrame!D13-OptimalFrame!$D$2</f>
        <v>-0.0012869947261420212</v>
      </c>
      <c r="E13">
        <f>MidplaneFrame!E13</f>
        <v>-17.798000000000002</v>
      </c>
      <c r="F13">
        <f>MidplaneFrame!F13</f>
        <v>-47.4</v>
      </c>
      <c r="G13">
        <f>MidplaneFrame!G13-OptimalFrame!$G$2</f>
        <v>-0.0014920694862472494</v>
      </c>
    </row>
    <row r="14" spans="1:7" ht="10.5">
      <c r="A14">
        <f>MidplaneFrame!A14</f>
        <v>10</v>
      </c>
      <c r="B14">
        <f>MidplaneFrame!B14</f>
        <v>-3.399000000000001</v>
      </c>
      <c r="C14">
        <f>MidplaneFrame!C14</f>
        <v>16.6</v>
      </c>
      <c r="D14">
        <f>MidplaneFrame!D14-OptimalFrame!$D$2</f>
        <v>0.0019719060162231017</v>
      </c>
      <c r="E14">
        <f>MidplaneFrame!E14</f>
        <v>-3.3980000000000032</v>
      </c>
      <c r="F14">
        <f>MidplaneFrame!F14</f>
        <v>-47.4</v>
      </c>
      <c r="G14">
        <f>MidplaneFrame!G14-OptimalFrame!$G$2</f>
        <v>-0.008232075687895857</v>
      </c>
    </row>
    <row r="15" spans="1:7" ht="10.5">
      <c r="A15">
        <f>MidplaneFrame!A15</f>
        <v>11</v>
      </c>
      <c r="B15">
        <f>MidplaneFrame!B15</f>
        <v>-61</v>
      </c>
      <c r="C15">
        <f>MidplaneFrame!C15</f>
        <v>32</v>
      </c>
      <c r="D15">
        <f>MidplaneFrame!D15-OptimalFrame!$D$2</f>
        <v>0.03444304187642733</v>
      </c>
      <c r="E15">
        <f>MidplaneFrame!E15</f>
        <v>-60.998</v>
      </c>
      <c r="F15">
        <f>MidplaneFrame!F15</f>
        <v>-31.999</v>
      </c>
      <c r="G15">
        <f>MidplaneFrame!G15-OptimalFrame!$G$2</f>
        <v>-0.036761999765626</v>
      </c>
    </row>
    <row r="16" spans="1:7" ht="10.5">
      <c r="A16">
        <f>MidplaneFrame!A16</f>
        <v>12</v>
      </c>
      <c r="B16">
        <f>MidplaneFrame!B16</f>
        <v>-46.599000000000004</v>
      </c>
      <c r="C16">
        <f>MidplaneFrame!C16</f>
        <v>32</v>
      </c>
      <c r="D16">
        <f>MidplaneFrame!D16-OptimalFrame!$D$2</f>
        <v>0.010701942618792648</v>
      </c>
      <c r="E16">
        <f>MidplaneFrame!E16</f>
        <v>-46.598</v>
      </c>
      <c r="F16">
        <f>MidplaneFrame!F16</f>
        <v>-32</v>
      </c>
      <c r="G16">
        <f>MidplaneFrame!G16-OptimalFrame!$G$2</f>
        <v>-0.012502039085326433</v>
      </c>
    </row>
    <row r="17" spans="1:7" ht="10.5">
      <c r="A17">
        <f>MidplaneFrame!A17</f>
        <v>13</v>
      </c>
      <c r="B17">
        <f>MidplaneFrame!B17</f>
        <v>-32.2</v>
      </c>
      <c r="C17">
        <f>MidplaneFrame!C17</f>
        <v>32</v>
      </c>
      <c r="D17">
        <f>MidplaneFrame!D17-OptimalFrame!$D$2</f>
        <v>0.0019630294731302067</v>
      </c>
      <c r="E17">
        <f>MidplaneFrame!E17</f>
        <v>-32.198</v>
      </c>
      <c r="F17">
        <f>MidplaneFrame!F17</f>
        <v>-32</v>
      </c>
      <c r="G17">
        <f>MidplaneFrame!G17-OptimalFrame!$G$2</f>
        <v>0.0017579547130249784</v>
      </c>
    </row>
    <row r="18" spans="1:7" ht="10.5">
      <c r="A18">
        <f>MidplaneFrame!A18</f>
        <v>14</v>
      </c>
      <c r="B18">
        <f>MidplaneFrame!B18</f>
        <v>-17.799999999999997</v>
      </c>
      <c r="C18">
        <f>MidplaneFrame!C18</f>
        <v>32</v>
      </c>
      <c r="D18">
        <f>MidplaneFrame!D18-OptimalFrame!$D$2</f>
        <v>-0.002776976728518399</v>
      </c>
      <c r="E18">
        <f>MidplaneFrame!E18</f>
        <v>-17.798000000000002</v>
      </c>
      <c r="F18">
        <f>MidplaneFrame!F18</f>
        <v>-31.999</v>
      </c>
      <c r="G18">
        <f>MidplaneFrame!G18-OptimalFrame!$G$2</f>
        <v>0.006017981629428237</v>
      </c>
    </row>
    <row r="19" spans="1:7" ht="10.5">
      <c r="A19">
        <f>MidplaneFrame!A19</f>
        <v>15</v>
      </c>
      <c r="B19">
        <f>MidplaneFrame!B19</f>
        <v>-3.3999999999999986</v>
      </c>
      <c r="C19">
        <f>MidplaneFrame!C19</f>
        <v>31.999</v>
      </c>
      <c r="D19">
        <f>MidplaneFrame!D19-OptimalFrame!$D$2</f>
        <v>0.0014829839517811472</v>
      </c>
      <c r="E19">
        <f>MidplaneFrame!E19</f>
        <v>-3.3980000000000032</v>
      </c>
      <c r="F19">
        <f>MidplaneFrame!F19</f>
        <v>-32</v>
      </c>
      <c r="G19">
        <f>MidplaneFrame!G19-OptimalFrame!$G$2</f>
        <v>-0.0027220576902723392</v>
      </c>
    </row>
    <row r="20" spans="1:7" ht="10.5">
      <c r="A20">
        <f>MidplaneFrame!A20</f>
        <v>16</v>
      </c>
      <c r="B20">
        <f>MidplaneFrame!B20</f>
        <v>-61</v>
      </c>
      <c r="C20">
        <f>MidplaneFrame!C20</f>
        <v>47.4</v>
      </c>
      <c r="D20">
        <f>MidplaneFrame!D20-OptimalFrame!$D$2</f>
        <v>0.037953059874051065</v>
      </c>
      <c r="E20">
        <f>MidplaneFrame!E20</f>
        <v>-60.998</v>
      </c>
      <c r="F20">
        <f>MidplaneFrame!F20</f>
        <v>-16.6</v>
      </c>
      <c r="G20">
        <f>MidplaneFrame!G20-OptimalFrame!$G$2</f>
        <v>-0.033252014886054115</v>
      </c>
    </row>
    <row r="21" spans="1:7" ht="10.5">
      <c r="A21">
        <f>MidplaneFrame!A21</f>
        <v>17</v>
      </c>
      <c r="B21">
        <f>MidplaneFrame!B21</f>
        <v>-46.599000000000004</v>
      </c>
      <c r="C21">
        <f>MidplaneFrame!C21</f>
        <v>47.4</v>
      </c>
      <c r="D21">
        <f>MidplaneFrame!D21-OptimalFrame!$D$2</f>
        <v>0.012211960616416273</v>
      </c>
      <c r="E21">
        <f>MidplaneFrame!E21</f>
        <v>-46.598</v>
      </c>
      <c r="F21">
        <f>MidplaneFrame!F21</f>
        <v>-16.6</v>
      </c>
      <c r="G21">
        <f>MidplaneFrame!G21-OptimalFrame!$G$2</f>
        <v>-0.010992021087702808</v>
      </c>
    </row>
    <row r="22" spans="1:7" ht="10.5">
      <c r="A22">
        <f>MidplaneFrame!A22</f>
        <v>18</v>
      </c>
      <c r="B22">
        <f>MidplaneFrame!B22</f>
        <v>-32.2</v>
      </c>
      <c r="C22">
        <f>MidplaneFrame!C22</f>
        <v>47.4</v>
      </c>
      <c r="D22">
        <f>MidplaneFrame!D22-OptimalFrame!$D$2</f>
        <v>0.0054730474707539445</v>
      </c>
      <c r="E22">
        <f>MidplaneFrame!E22</f>
        <v>-32.198</v>
      </c>
      <c r="F22">
        <f>MidplaneFrame!F22</f>
        <v>-16.6</v>
      </c>
      <c r="G22">
        <f>MidplaneFrame!G22-OptimalFrame!$G$2</f>
        <v>0.00026797271064860073</v>
      </c>
    </row>
    <row r="23" spans="1:7" ht="10.5">
      <c r="A23">
        <f>MidplaneFrame!A23</f>
        <v>19</v>
      </c>
      <c r="B23">
        <f>MidplaneFrame!B23</f>
        <v>-17.799999999999997</v>
      </c>
      <c r="C23">
        <f>MidplaneFrame!C23</f>
        <v>47.4</v>
      </c>
      <c r="D23">
        <f>MidplaneFrame!D23-OptimalFrame!$D$2</f>
        <v>0.0037330412691052306</v>
      </c>
      <c r="E23">
        <f>MidplaneFrame!E23</f>
        <v>-17.798000000000002</v>
      </c>
      <c r="F23">
        <f>MidplaneFrame!F23</f>
        <v>-16.6</v>
      </c>
      <c r="G23">
        <f>MidplaneFrame!G23-OptimalFrame!$G$2</f>
        <v>0.006527966509000116</v>
      </c>
    </row>
    <row r="24" spans="1:7" ht="10.5">
      <c r="A24">
        <f>MidplaneFrame!A24</f>
        <v>20</v>
      </c>
      <c r="B24">
        <f>MidplaneFrame!B24</f>
        <v>-3.3999999999999986</v>
      </c>
      <c r="C24">
        <f>MidplaneFrame!C24</f>
        <v>47.4</v>
      </c>
      <c r="D24">
        <f>MidplaneFrame!D24-OptimalFrame!$D$2</f>
        <v>-0.004006964932543378</v>
      </c>
      <c r="E24">
        <f>MidplaneFrame!E24</f>
        <v>-3.3980000000000032</v>
      </c>
      <c r="F24">
        <f>MidplaneFrame!F24</f>
        <v>-16.6</v>
      </c>
      <c r="G24">
        <f>MidplaneFrame!G24-OptimalFrame!$G$2</f>
        <v>-0.004212039692648717</v>
      </c>
    </row>
    <row r="25" spans="1:7" ht="10.5">
      <c r="A25">
        <f>MidplaneFrame!A25</f>
        <v>21</v>
      </c>
      <c r="B25">
        <f>MidplaneFrame!B25</f>
        <v>-60.999</v>
      </c>
      <c r="C25">
        <f>MidplaneFrame!C25</f>
        <v>62.799</v>
      </c>
      <c r="D25">
        <f>MidplaneFrame!D25-OptimalFrame!$D$2</f>
        <v>0.026461951697636765</v>
      </c>
      <c r="E25">
        <f>MidplaneFrame!E25</f>
        <v>-60.998</v>
      </c>
      <c r="F25">
        <f>MidplaneFrame!F25</f>
        <v>-1.2000000000000028</v>
      </c>
      <c r="G25">
        <f>MidplaneFrame!G25-OptimalFrame!$G$2</f>
        <v>-0.036741996888430495</v>
      </c>
    </row>
    <row r="26" spans="1:7" ht="10.5">
      <c r="A26">
        <f>MidplaneFrame!A26</f>
        <v>22</v>
      </c>
      <c r="B26">
        <f>MidplaneFrame!B26</f>
        <v>-46.6</v>
      </c>
      <c r="C26">
        <f>MidplaneFrame!C26</f>
        <v>62.8</v>
      </c>
      <c r="D26">
        <f>MidplaneFrame!D26-OptimalFrame!$D$2</f>
        <v>0.003723071670026168</v>
      </c>
      <c r="E26">
        <f>MidplaneFrame!E26</f>
        <v>-46.598</v>
      </c>
      <c r="F26">
        <f>MidplaneFrame!F26</f>
        <v>-1.2000000000000028</v>
      </c>
      <c r="G26">
        <f>MidplaneFrame!G26-OptimalFrame!$G$2</f>
        <v>-0.00748200309007907</v>
      </c>
    </row>
    <row r="27" spans="1:7" ht="10.5">
      <c r="A27">
        <f>MidplaneFrame!A27</f>
        <v>23</v>
      </c>
      <c r="B27">
        <f>MidplaneFrame!B27</f>
        <v>-32.199</v>
      </c>
      <c r="C27">
        <f>MidplaneFrame!C27</f>
        <v>62.8</v>
      </c>
      <c r="D27">
        <f>MidplaneFrame!D27-OptimalFrame!$D$2</f>
        <v>-0.005018027587608609</v>
      </c>
      <c r="E27">
        <f>MidplaneFrame!E27</f>
        <v>-32.198</v>
      </c>
      <c r="F27">
        <f>MidplaneFrame!F27</f>
        <v>-1.198999999999998</v>
      </c>
      <c r="G27">
        <f>MidplaneFrame!G27-OptimalFrame!$G$2</f>
        <v>0.003778023826324195</v>
      </c>
    </row>
    <row r="28" spans="1:7" ht="10.5">
      <c r="A28">
        <f>MidplaneFrame!A28</f>
        <v>24</v>
      </c>
      <c r="B28">
        <f>MidplaneFrame!B28</f>
        <v>-17.799</v>
      </c>
      <c r="C28">
        <f>MidplaneFrame!C28</f>
        <v>62.8</v>
      </c>
      <c r="D28">
        <f>MidplaneFrame!D28-OptimalFrame!$D$2</f>
        <v>-0.003758033789257209</v>
      </c>
      <c r="E28">
        <f>MidplaneFrame!E28</f>
        <v>-17.798000000000002</v>
      </c>
      <c r="F28">
        <f>MidplaneFrame!F28</f>
        <v>-1.2000000000000028</v>
      </c>
      <c r="G28">
        <f>MidplaneFrame!G28-OptimalFrame!$G$2</f>
        <v>0.00803798450662363</v>
      </c>
    </row>
    <row r="29" spans="1:7" ht="10.5">
      <c r="A29">
        <f>MidplaneFrame!A29</f>
        <v>25</v>
      </c>
      <c r="B29">
        <f>MidplaneFrame!B29</f>
        <v>-3.399000000000001</v>
      </c>
      <c r="C29">
        <f>MidplaneFrame!C29</f>
        <v>62.8</v>
      </c>
      <c r="D29">
        <f>MidplaneFrame!D29-OptimalFrame!$D$2</f>
        <v>-0.0024980399909059203</v>
      </c>
      <c r="E29">
        <f>MidplaneFrame!E29</f>
        <v>-3.3980000000000032</v>
      </c>
      <c r="F29">
        <f>MidplaneFrame!F29</f>
        <v>-1.2000000000000028</v>
      </c>
      <c r="G29">
        <f>MidplaneFrame!G29-OptimalFrame!$G$2</f>
        <v>0.006297978304975138</v>
      </c>
    </row>
    <row r="30" spans="1:7" ht="10.5">
      <c r="A30" t="str">
        <f>MidplaneFrame!A30</f>
        <v>RightSensor</v>
      </c>
      <c r="B30" t="str">
        <f>MidplaneFrame!B30</f>
        <v>x</v>
      </c>
      <c r="C30" t="str">
        <f>MidplaneFrame!C30</f>
        <v>y</v>
      </c>
      <c r="D30" t="str">
        <f>MidplaneFrame!D30</f>
        <v>z</v>
      </c>
      <c r="E30" t="str">
        <f>MidplaneFrame!E30</f>
        <v>x</v>
      </c>
      <c r="F30" t="str">
        <f>MidplaneFrame!F30</f>
        <v>y</v>
      </c>
      <c r="G30" t="str">
        <f>MidplaneFrame!G30</f>
        <v>z</v>
      </c>
    </row>
    <row r="31" spans="1:7" ht="10.5">
      <c r="A31">
        <f>MidplaneFrame!A31</f>
        <v>1</v>
      </c>
      <c r="B31">
        <f>MidplaneFrame!B31</f>
        <v>2.0859999999999985</v>
      </c>
      <c r="C31">
        <f>MidplaneFrame!C31</f>
        <v>1.2000000000000028</v>
      </c>
      <c r="D31">
        <f>MidplaneFrame!D31-OptimalFrame!$D$2</f>
        <v>0.0047895857996551605</v>
      </c>
      <c r="E31">
        <f>MidplaneFrame!E31</f>
        <v>2.117999999999995</v>
      </c>
      <c r="F31">
        <f>MidplaneFrame!F31</f>
        <v>-62.799</v>
      </c>
      <c r="G31">
        <f>MidplaneFrame!G31-OptimalFrame!$G$2</f>
        <v>-0.008412992678723419</v>
      </c>
    </row>
    <row r="32" spans="1:7" ht="10.5">
      <c r="A32">
        <f>MidplaneFrame!A32</f>
        <v>2</v>
      </c>
      <c r="B32">
        <f>MidplaneFrame!B32</f>
        <v>16.9825</v>
      </c>
      <c r="C32">
        <f>MidplaneFrame!C32</f>
        <v>1.2000000000000028</v>
      </c>
      <c r="D32">
        <f>MidplaneFrame!D32-OptimalFrame!$D$2</f>
        <v>0.0015482859186767284</v>
      </c>
      <c r="E32">
        <f>MidplaneFrame!E32</f>
        <v>17.004999999999995</v>
      </c>
      <c r="F32">
        <f>MidplaneFrame!F32</f>
        <v>-62.798500000000004</v>
      </c>
      <c r="G32">
        <f>MidplaneFrame!G32-OptimalFrame!$G$2</f>
        <v>-0.0006550240088404324</v>
      </c>
    </row>
    <row r="33" spans="1:7" ht="10.5">
      <c r="A33">
        <f>MidplaneFrame!A33</f>
        <v>3</v>
      </c>
      <c r="B33">
        <f>MidplaneFrame!B33</f>
        <v>31.879000000000005</v>
      </c>
      <c r="C33">
        <f>MidplaneFrame!C33</f>
        <v>1.2000000000000028</v>
      </c>
      <c r="D33">
        <f>MidplaneFrame!D33-OptimalFrame!$D$2</f>
        <v>-0.0016930139623017038</v>
      </c>
      <c r="E33">
        <f>MidplaneFrame!E33</f>
        <v>31.891999999999996</v>
      </c>
      <c r="F33">
        <f>MidplaneFrame!F33</f>
        <v>-62.798</v>
      </c>
      <c r="G33">
        <f>MidplaneFrame!G33-OptimalFrame!$G$2</f>
        <v>0.007102944661042554</v>
      </c>
    </row>
    <row r="34" spans="1:7" ht="10.5">
      <c r="A34">
        <f>MidplaneFrame!A34</f>
        <v>4</v>
      </c>
      <c r="B34">
        <f>MidplaneFrame!B34</f>
        <v>46.278999999999996</v>
      </c>
      <c r="C34">
        <f>MidplaneFrame!C34</f>
        <v>1.2000000000000028</v>
      </c>
      <c r="D34">
        <f>MidplaneFrame!D34-OptimalFrame!$D$2</f>
        <v>0.009523733710904203</v>
      </c>
      <c r="E34">
        <f>MidplaneFrame!E34</f>
        <v>46.292</v>
      </c>
      <c r="F34">
        <f>MidplaneFrame!F34</f>
        <v>-62.798</v>
      </c>
      <c r="G34">
        <f>MidplaneFrame!G34-OptimalFrame!$G$2</f>
        <v>0.0003196923342484448</v>
      </c>
    </row>
    <row r="35" spans="1:7" ht="10.5">
      <c r="A35">
        <f>MidplaneFrame!A35</f>
        <v>5</v>
      </c>
      <c r="B35">
        <f>MidplaneFrame!B35</f>
        <v>60.679</v>
      </c>
      <c r="C35">
        <f>MidplaneFrame!C35</f>
        <v>1.2000000000000028</v>
      </c>
      <c r="D35">
        <f>MidplaneFrame!D35-OptimalFrame!$D$2</f>
        <v>0.030740481384110008</v>
      </c>
      <c r="E35">
        <f>MidplaneFrame!E35</f>
        <v>60.69199999999999</v>
      </c>
      <c r="F35">
        <f>MidplaneFrame!F35</f>
        <v>-62.798</v>
      </c>
      <c r="G35">
        <f>MidplaneFrame!G35-OptimalFrame!$G$2</f>
        <v>-0.019463559992545676</v>
      </c>
    </row>
    <row r="36" spans="1:7" ht="10.5">
      <c r="A36">
        <f>MidplaneFrame!A36</f>
        <v>6</v>
      </c>
      <c r="B36">
        <f>MidplaneFrame!B36</f>
        <v>2.0859999999999985</v>
      </c>
      <c r="C36">
        <f>MidplaneFrame!C36</f>
        <v>16.6</v>
      </c>
      <c r="D36">
        <f>MidplaneFrame!D36-OptimalFrame!$D$2</f>
        <v>0.0059845890816278</v>
      </c>
      <c r="E36">
        <f>MidplaneFrame!E36</f>
        <v>2.117999999999995</v>
      </c>
      <c r="F36">
        <f>MidplaneFrame!F36</f>
        <v>-47.399</v>
      </c>
      <c r="G36">
        <f>MidplaneFrame!G36-OptimalFrame!$G$2</f>
        <v>-0.009217989396750892</v>
      </c>
    </row>
    <row r="37" spans="1:7" ht="10.5">
      <c r="A37">
        <f>MidplaneFrame!A37</f>
        <v>7</v>
      </c>
      <c r="B37">
        <f>MidplaneFrame!B37</f>
        <v>16.9825</v>
      </c>
      <c r="C37">
        <f>MidplaneFrame!C37</f>
        <v>16.5995</v>
      </c>
      <c r="D37">
        <f>MidplaneFrame!D37-OptimalFrame!$D$2</f>
        <v>0.0027432179343089835</v>
      </c>
      <c r="E37">
        <f>MidplaneFrame!E37</f>
        <v>17.004999999999995</v>
      </c>
      <c r="F37">
        <f>MidplaneFrame!F37</f>
        <v>-47.3985</v>
      </c>
      <c r="G37">
        <f>MidplaneFrame!G37-OptimalFrame!$G$2</f>
        <v>-0.007960020726867967</v>
      </c>
    </row>
    <row r="38" spans="1:7" ht="10.5">
      <c r="A38">
        <f>MidplaneFrame!A38</f>
        <v>8</v>
      </c>
      <c r="B38">
        <f>MidplaneFrame!B38</f>
        <v>31.879000000000005</v>
      </c>
      <c r="C38">
        <f>MidplaneFrame!C38</f>
        <v>16.598999999999997</v>
      </c>
      <c r="D38">
        <f>MidplaneFrame!D38-OptimalFrame!$D$2</f>
        <v>-0.0004981532130097222</v>
      </c>
      <c r="E38">
        <f>MidplaneFrame!E38</f>
        <v>31.891999999999996</v>
      </c>
      <c r="F38">
        <f>MidplaneFrame!F38</f>
        <v>-47.397999999999996</v>
      </c>
      <c r="G38">
        <f>MidplaneFrame!G38-OptimalFrame!$G$2</f>
        <v>-0.006702052056984931</v>
      </c>
    </row>
    <row r="39" spans="1:7" ht="10.5">
      <c r="A39">
        <f>MidplaneFrame!A39</f>
        <v>9</v>
      </c>
      <c r="B39">
        <f>MidplaneFrame!B39</f>
        <v>46.278999999999996</v>
      </c>
      <c r="C39">
        <f>MidplaneFrame!C39</f>
        <v>16.6</v>
      </c>
      <c r="D39">
        <f>MidplaneFrame!D39-OptimalFrame!$D$2</f>
        <v>0.009718736992876731</v>
      </c>
      <c r="E39">
        <f>MidplaneFrame!E39</f>
        <v>46.292</v>
      </c>
      <c r="F39">
        <f>MidplaneFrame!F39</f>
        <v>-47.397999999999996</v>
      </c>
      <c r="G39">
        <f>MidplaneFrame!G39-OptimalFrame!$G$2</f>
        <v>-0.018485304383779044</v>
      </c>
    </row>
    <row r="40" spans="1:7" ht="10.5">
      <c r="A40">
        <f>MidplaneFrame!A40</f>
        <v>10</v>
      </c>
      <c r="B40">
        <f>MidplaneFrame!B40</f>
        <v>60.679</v>
      </c>
      <c r="C40">
        <f>MidplaneFrame!C40</f>
        <v>16.6</v>
      </c>
      <c r="D40">
        <f>MidplaneFrame!D40-OptimalFrame!$D$2</f>
        <v>0.029935484666082535</v>
      </c>
      <c r="E40">
        <f>MidplaneFrame!E40</f>
        <v>60.69199999999999</v>
      </c>
      <c r="F40">
        <f>MidplaneFrame!F40</f>
        <v>-47.397999999999996</v>
      </c>
      <c r="G40">
        <f>MidplaneFrame!G40-OptimalFrame!$G$2</f>
        <v>-0.038268556710573165</v>
      </c>
    </row>
    <row r="41" spans="1:7" ht="10.5">
      <c r="A41">
        <f>MidplaneFrame!A41</f>
        <v>11</v>
      </c>
      <c r="B41">
        <f>MidplaneFrame!B41</f>
        <v>2.0859999999999985</v>
      </c>
      <c r="C41">
        <f>MidplaneFrame!C41</f>
        <v>32</v>
      </c>
      <c r="D41">
        <f>MidplaneFrame!D41-OptimalFrame!$D$2</f>
        <v>0.005179592363600327</v>
      </c>
      <c r="E41">
        <f>MidplaneFrame!E41</f>
        <v>2.117999999999995</v>
      </c>
      <c r="F41">
        <f>MidplaneFrame!F41</f>
        <v>-31.999</v>
      </c>
      <c r="G41">
        <f>MidplaneFrame!G41-OptimalFrame!$G$2</f>
        <v>-0.008022986114778363</v>
      </c>
    </row>
    <row r="42" spans="1:7" ht="10.5">
      <c r="A42">
        <f>MidplaneFrame!A42</f>
        <v>12</v>
      </c>
      <c r="B42">
        <f>MidplaneFrame!B42</f>
        <v>16.9825</v>
      </c>
      <c r="C42">
        <f>MidplaneFrame!C42</f>
        <v>32</v>
      </c>
      <c r="D42">
        <f>MidplaneFrame!D42-OptimalFrame!$D$2</f>
        <v>0.003438292482621841</v>
      </c>
      <c r="E42">
        <f>MidplaneFrame!E42</f>
        <v>17.004999999999995</v>
      </c>
      <c r="F42">
        <f>MidplaneFrame!F42</f>
        <v>-31.9985</v>
      </c>
      <c r="G42">
        <f>MidplaneFrame!G42-OptimalFrame!$G$2</f>
        <v>-0.004765017444895325</v>
      </c>
    </row>
    <row r="43" spans="1:7" ht="10.5">
      <c r="A43">
        <f>MidplaneFrame!A43</f>
        <v>13</v>
      </c>
      <c r="B43">
        <f>MidplaneFrame!B43</f>
        <v>31.879000000000005</v>
      </c>
      <c r="C43">
        <f>MidplaneFrame!C43</f>
        <v>32</v>
      </c>
      <c r="D43">
        <f>MidplaneFrame!D43-OptimalFrame!$D$2</f>
        <v>0.0016969926016434655</v>
      </c>
      <c r="E43">
        <f>MidplaneFrame!E43</f>
        <v>31.891999999999996</v>
      </c>
      <c r="F43">
        <f>MidplaneFrame!F43</f>
        <v>-31.998</v>
      </c>
      <c r="G43">
        <f>MidplaneFrame!G43-OptimalFrame!$G$2</f>
        <v>-0.0015070487750122874</v>
      </c>
    </row>
    <row r="44" spans="1:7" ht="10.5">
      <c r="A44">
        <f>MidplaneFrame!A44</f>
        <v>14</v>
      </c>
      <c r="B44">
        <f>MidplaneFrame!B44</f>
        <v>46.278999999999996</v>
      </c>
      <c r="C44">
        <f>MidplaneFrame!C44</f>
        <v>32</v>
      </c>
      <c r="D44">
        <f>MidplaneFrame!D44-OptimalFrame!$D$2</f>
        <v>0.003913740274849253</v>
      </c>
      <c r="E44">
        <f>MidplaneFrame!E44</f>
        <v>46.292</v>
      </c>
      <c r="F44">
        <f>MidplaneFrame!F44</f>
        <v>-31.998</v>
      </c>
      <c r="G44">
        <f>MidplaneFrame!G44-OptimalFrame!$G$2</f>
        <v>-0.008290301101806397</v>
      </c>
    </row>
    <row r="45" spans="1:7" ht="10.5">
      <c r="A45">
        <f>MidplaneFrame!A45</f>
        <v>15</v>
      </c>
      <c r="B45">
        <f>MidplaneFrame!B45</f>
        <v>60.679</v>
      </c>
      <c r="C45">
        <f>MidplaneFrame!C45</f>
        <v>32</v>
      </c>
      <c r="D45">
        <f>MidplaneFrame!D45-OptimalFrame!$D$2</f>
        <v>0.02613048794805517</v>
      </c>
      <c r="E45">
        <f>MidplaneFrame!E45</f>
        <v>60.69199999999999</v>
      </c>
      <c r="F45">
        <f>MidplaneFrame!F45</f>
        <v>-31.998</v>
      </c>
      <c r="G45">
        <f>MidplaneFrame!G45-OptimalFrame!$G$2</f>
        <v>-0.029073553428600518</v>
      </c>
    </row>
    <row r="46" spans="1:7" ht="10.5">
      <c r="A46">
        <f>MidplaneFrame!A46</f>
        <v>16</v>
      </c>
      <c r="B46">
        <f>MidplaneFrame!B46</f>
        <v>2.0859999999999985</v>
      </c>
      <c r="C46">
        <f>MidplaneFrame!C46</f>
        <v>47.4</v>
      </c>
      <c r="D46">
        <f>MidplaneFrame!D46-OptimalFrame!$D$2</f>
        <v>0.012374595645572861</v>
      </c>
      <c r="E46">
        <f>MidplaneFrame!E46</f>
        <v>2.117999999999995</v>
      </c>
      <c r="F46">
        <f>MidplaneFrame!F46</f>
        <v>-16.598999999999997</v>
      </c>
      <c r="G46">
        <f>MidplaneFrame!G46-OptimalFrame!$G$2</f>
        <v>-0.005827982832805723</v>
      </c>
    </row>
    <row r="47" spans="1:7" ht="10.5">
      <c r="A47">
        <f>MidplaneFrame!A47</f>
        <v>17</v>
      </c>
      <c r="B47">
        <f>MidplaneFrame!B47</f>
        <v>16.9825</v>
      </c>
      <c r="C47">
        <f>MidplaneFrame!C47</f>
        <v>47.4</v>
      </c>
      <c r="D47">
        <f>MidplaneFrame!D47-OptimalFrame!$D$2</f>
        <v>0.008133295764594428</v>
      </c>
      <c r="E47">
        <f>MidplaneFrame!E47</f>
        <v>17.004999999999995</v>
      </c>
      <c r="F47">
        <f>MidplaneFrame!F47</f>
        <v>-16.598499999999998</v>
      </c>
      <c r="G47">
        <f>MidplaneFrame!G47-OptimalFrame!$G$2</f>
        <v>-0.0040700141629227415</v>
      </c>
    </row>
    <row r="48" spans="1:7" ht="10.5">
      <c r="A48">
        <f>MidplaneFrame!A48</f>
        <v>18</v>
      </c>
      <c r="B48">
        <f>MidplaneFrame!B48</f>
        <v>31.879000000000005</v>
      </c>
      <c r="C48">
        <f>MidplaneFrame!C48</f>
        <v>47.4</v>
      </c>
      <c r="D48">
        <f>MidplaneFrame!D48-OptimalFrame!$D$2</f>
        <v>0.003891995883615995</v>
      </c>
      <c r="E48">
        <f>MidplaneFrame!E48</f>
        <v>31.891999999999996</v>
      </c>
      <c r="F48">
        <f>MidplaneFrame!F48</f>
        <v>-16.598</v>
      </c>
      <c r="G48">
        <f>MidplaneFrame!G48-OptimalFrame!$G$2</f>
        <v>-0.0023120454930397605</v>
      </c>
    </row>
    <row r="49" spans="1:7" ht="10.5">
      <c r="A49">
        <f>MidplaneFrame!A49</f>
        <v>19</v>
      </c>
      <c r="B49">
        <f>MidplaneFrame!B49</f>
        <v>46.278999999999996</v>
      </c>
      <c r="C49">
        <f>MidplaneFrame!C49</f>
        <v>47.4</v>
      </c>
      <c r="D49">
        <f>MidplaneFrame!D49-OptimalFrame!$D$2</f>
        <v>0.009108743556821786</v>
      </c>
      <c r="E49">
        <f>MidplaneFrame!E49</f>
        <v>46.292</v>
      </c>
      <c r="F49">
        <f>MidplaneFrame!F49</f>
        <v>-16.598</v>
      </c>
      <c r="G49">
        <f>MidplaneFrame!G49-OptimalFrame!$G$2</f>
        <v>-0.006095297819833756</v>
      </c>
    </row>
    <row r="50" spans="1:7" ht="10.5">
      <c r="A50">
        <f>MidplaneFrame!A50</f>
        <v>20</v>
      </c>
      <c r="B50">
        <f>MidplaneFrame!B50</f>
        <v>60.678</v>
      </c>
      <c r="C50">
        <f>MidplaneFrame!C50</f>
        <v>47.4</v>
      </c>
      <c r="D50">
        <f>MidplaneFrame!D50-OptimalFrame!$D$2</f>
        <v>0.032325406733661466</v>
      </c>
      <c r="E50">
        <f>MidplaneFrame!E50</f>
        <v>60.69199999999999</v>
      </c>
      <c r="F50">
        <f>MidplaneFrame!F50</f>
        <v>-16.598</v>
      </c>
      <c r="G50">
        <f>MidplaneFrame!G50-OptimalFrame!$G$2</f>
        <v>-0.021878550146627984</v>
      </c>
    </row>
    <row r="51" spans="1:7" ht="10.5">
      <c r="A51">
        <f>MidplaneFrame!A51</f>
        <v>21</v>
      </c>
      <c r="B51">
        <f>MidplaneFrame!B51</f>
        <v>2.0859999999999985</v>
      </c>
      <c r="C51">
        <f>MidplaneFrame!C51</f>
        <v>62.8</v>
      </c>
      <c r="D51">
        <f>MidplaneFrame!D51-OptimalFrame!$D$2</f>
        <v>0.010569598927545387</v>
      </c>
      <c r="E51">
        <f>MidplaneFrame!E51</f>
        <v>2.117999999999995</v>
      </c>
      <c r="F51">
        <f>MidplaneFrame!F51</f>
        <v>-1.198999999999998</v>
      </c>
      <c r="G51">
        <f>MidplaneFrame!G51-OptimalFrame!$G$2</f>
        <v>-0.003632979550833193</v>
      </c>
    </row>
    <row r="52" spans="1:7" ht="10.5">
      <c r="A52">
        <f>MidplaneFrame!A52</f>
        <v>22</v>
      </c>
      <c r="B52">
        <f>MidplaneFrame!B52</f>
        <v>16.9825</v>
      </c>
      <c r="C52">
        <f>MidplaneFrame!C52</f>
        <v>62.7995</v>
      </c>
      <c r="D52">
        <f>MidplaneFrame!D52-OptimalFrame!$D$2</f>
        <v>0.0018282277802266211</v>
      </c>
      <c r="E52">
        <f>MidplaneFrame!E52</f>
        <v>17.004999999999995</v>
      </c>
      <c r="F52">
        <f>MidplaneFrame!F52</f>
        <v>-1.1984999999999992</v>
      </c>
      <c r="G52">
        <f>MidplaneFrame!G52-OptimalFrame!$G$2</f>
        <v>-0.0003750108809500441</v>
      </c>
    </row>
    <row r="53" spans="1:7" ht="10.5">
      <c r="A53">
        <f>MidplaneFrame!A53</f>
        <v>23</v>
      </c>
      <c r="B53">
        <f>MidplaneFrame!B53</f>
        <v>31.879000000000005</v>
      </c>
      <c r="C53">
        <f>MidplaneFrame!C53</f>
        <v>62.799</v>
      </c>
      <c r="D53">
        <f>MidplaneFrame!D53-OptimalFrame!$D$2</f>
        <v>-0.006913143367092034</v>
      </c>
      <c r="E53">
        <f>MidplaneFrame!E53</f>
        <v>31.891999999999996</v>
      </c>
      <c r="F53">
        <f>MidplaneFrame!F53</f>
        <v>-1.1980000000000004</v>
      </c>
      <c r="G53">
        <f>MidplaneFrame!G53-OptimalFrame!$G$2</f>
        <v>0.002882957788932994</v>
      </c>
    </row>
    <row r="54" spans="1:7" ht="10.5">
      <c r="A54">
        <f>MidplaneFrame!A54</f>
        <v>24</v>
      </c>
      <c r="B54">
        <f>MidplaneFrame!B54</f>
        <v>46.278000000000006</v>
      </c>
      <c r="C54">
        <f>MidplaneFrame!C54</f>
        <v>62.8</v>
      </c>
      <c r="D54">
        <f>MidplaneFrame!D54-OptimalFrame!$D$2</f>
        <v>-0.0016963376575718225</v>
      </c>
      <c r="E54">
        <f>MidplaneFrame!E54</f>
        <v>46.292</v>
      </c>
      <c r="F54">
        <f>MidplaneFrame!F54</f>
        <v>-1.1980000000000004</v>
      </c>
      <c r="G54">
        <f>MidplaneFrame!G54-OptimalFrame!$G$2</f>
        <v>-0.004900294537861449</v>
      </c>
    </row>
    <row r="55" spans="1:7" ht="10.5">
      <c r="A55">
        <f>MidplaneFrame!A55</f>
        <v>25</v>
      </c>
      <c r="B55">
        <f>MidplaneFrame!B55</f>
        <v>60.679</v>
      </c>
      <c r="C55">
        <f>MidplaneFrame!C55</f>
        <v>62.8</v>
      </c>
      <c r="D55">
        <f>MidplaneFrame!D55-OptimalFrame!$D$2</f>
        <v>0.013520494512000214</v>
      </c>
      <c r="E55">
        <f>MidplaneFrame!E55</f>
        <v>60.691</v>
      </c>
      <c r="F55">
        <f>MidplaneFrame!F55</f>
        <v>-1.1980000000000004</v>
      </c>
      <c r="G55">
        <f>MidplaneFrame!G55-OptimalFrame!$G$2</f>
        <v>-0.016683631361021578</v>
      </c>
    </row>
  </sheetData>
  <printOptions/>
  <pageMargins left="0.75" right="0.75" top="1" bottom="1" header="0.512" footer="0.512"/>
  <pageSetup fitToHeight="1" fitToWidth="1" orientation="portrait" paperSize="9" r:id="rId1"/>
  <headerFooter alignWithMargins="0">
    <oddHeader>&amp;C&amp;F</oddHeader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A13">
      <selection activeCell="P47" sqref="P47"/>
    </sheetView>
  </sheetViews>
  <sheetFormatPr defaultColWidth="9.140625" defaultRowHeight="12"/>
  <cols>
    <col min="1" max="3" width="12.00390625" style="0" customWidth="1"/>
    <col min="4" max="4" width="13.00390625" style="0" customWidth="1"/>
    <col min="5" max="16384" width="12.00390625" style="0" customWidth="1"/>
  </cols>
  <sheetData>
    <row r="1" ht="12">
      <c r="A1" t="s">
        <v>90</v>
      </c>
    </row>
    <row r="2" spans="1:8" ht="12">
      <c r="A2" t="s">
        <v>310</v>
      </c>
      <c r="H2" t="s">
        <v>311</v>
      </c>
    </row>
    <row r="3" spans="1:13" ht="12">
      <c r="A3" t="s">
        <v>387</v>
      </c>
      <c r="B3" s="25">
        <f>AVERAGE(OptimalFrame!C5:C9,OptimalFrame!C31:C35)</f>
        <v>1.2000000000000028</v>
      </c>
      <c r="C3" s="25">
        <f>AVERAGE(OptimalFrame!C10:C14,OptimalFrame!C36:C40)</f>
        <v>16.599849999999996</v>
      </c>
      <c r="D3" s="25">
        <f>AVERAGE(OptimalFrame!C15:C19,OptimalFrame!C41:C45)</f>
        <v>31.999900000000004</v>
      </c>
      <c r="E3" s="25">
        <f>AVERAGE(OptimalFrame!C20:C24,OptimalFrame!C46:C50)</f>
        <v>47.39999999999999</v>
      </c>
      <c r="F3" s="25">
        <f>AVERAGE(OptimalFrame!C25:C29,OptimalFrame!C51:C55)</f>
        <v>62.799749999999996</v>
      </c>
      <c r="H3" t="str">
        <f aca="true" t="shared" si="0" ref="H3:M3">A3</f>
        <v>x\y</v>
      </c>
      <c r="I3" s="25">
        <f t="shared" si="0"/>
        <v>1.2000000000000028</v>
      </c>
      <c r="J3" s="25">
        <f t="shared" si="0"/>
        <v>16.599849999999996</v>
      </c>
      <c r="K3" s="25">
        <f t="shared" si="0"/>
        <v>31.999900000000004</v>
      </c>
      <c r="L3" s="25">
        <f t="shared" si="0"/>
        <v>47.39999999999999</v>
      </c>
      <c r="M3" s="25">
        <f t="shared" si="0"/>
        <v>62.799749999999996</v>
      </c>
    </row>
    <row r="4" spans="1:13" ht="12">
      <c r="A4" s="25">
        <f>AVERAGE(OptimalFrame!B5,OptimalFrame!B10,OptimalFrame!B15,OptimalFrame!B20,OptimalFrame!B25)</f>
        <v>-60.9994</v>
      </c>
      <c r="B4" s="14">
        <f ca="1">INDIRECT(ADDRESS(5+(ROW()-4)+(COLUMN()-2)*5,4,3,TRUE,"OptimalFrame"))</f>
        <v>0.030421912825193798</v>
      </c>
      <c r="C4" s="14">
        <f ca="1" t="shared" si="1" ref="C4:F8">INDIRECT(ADDRESS(5+(ROW()-4)+(COLUMN()-2)*5,4,3,TRUE,"OptimalFrame"))</f>
        <v>0.03893193082281754</v>
      </c>
      <c r="D4" s="14">
        <f ca="1" t="shared" si="1"/>
        <v>0.03444304187642733</v>
      </c>
      <c r="E4" s="14">
        <f ca="1" t="shared" si="1"/>
        <v>0.037953059874051065</v>
      </c>
      <c r="F4" s="14">
        <f ca="1" t="shared" si="1"/>
        <v>0.026461951697636765</v>
      </c>
      <c r="H4" s="25">
        <f aca="true" t="shared" si="2" ref="H4:H13">A4</f>
        <v>-60.9994</v>
      </c>
      <c r="I4" s="14">
        <f ca="1">INDIRECT(ADDRESS(5+(ROW()-4)+(COLUMN()-9)*5,7,3,TRUE,"OptimalFrame"))</f>
        <v>-0.026782035760873346</v>
      </c>
      <c r="J4" s="14">
        <f ca="1" t="shared" si="3" ref="J4:M8">INDIRECT(ADDRESS(5+(ROW()-4)+(COLUMN()-9)*5,7,3,TRUE,"OptimalFrame"))</f>
        <v>-0.045272050881301484</v>
      </c>
      <c r="K4" s="14">
        <f ca="1" t="shared" si="3"/>
        <v>-0.036761999765626</v>
      </c>
      <c r="L4" s="14">
        <f ca="1" t="shared" si="3"/>
        <v>-0.033252014886054115</v>
      </c>
      <c r="M4" s="14">
        <f ca="1" t="shared" si="3"/>
        <v>-0.036741996888430495</v>
      </c>
    </row>
    <row r="5" spans="1:13" ht="12">
      <c r="A5" s="25">
        <f>AVERAGE(OptimalFrame!B6,OptimalFrame!B11,OptimalFrame!B16,OptimalFrame!B21,OptimalFrame!B26)</f>
        <v>-46.599399999999996</v>
      </c>
      <c r="B5" s="14">
        <f ca="1">INDIRECT(ADDRESS(5+(ROW()-4)+(COLUMN()-2)*5,4,3,TRUE,"OptimalFrame"))</f>
        <v>0.0026829996795314504</v>
      </c>
      <c r="C5" s="14">
        <f ca="1" t="shared" si="1"/>
        <v>0.015191924621168917</v>
      </c>
      <c r="D5" s="14">
        <f ca="1" t="shared" si="1"/>
        <v>0.010701942618792648</v>
      </c>
      <c r="E5" s="14">
        <f ca="1" t="shared" si="1"/>
        <v>0.012211960616416273</v>
      </c>
      <c r="F5" s="14">
        <f ca="1" t="shared" si="1"/>
        <v>0.003723071670026168</v>
      </c>
      <c r="H5" s="25">
        <f t="shared" si="2"/>
        <v>-46.599399999999996</v>
      </c>
      <c r="I5" s="14">
        <f ca="1">INDIRECT(ADDRESS(5+(ROW()-4)+(COLUMN()-9)*5,7,3,TRUE,"OptimalFrame"))</f>
        <v>0.0014779249194262212</v>
      </c>
      <c r="J5" s="14">
        <f ca="1" t="shared" si="3"/>
        <v>-0.013012057082950168</v>
      </c>
      <c r="K5" s="14">
        <f ca="1" t="shared" si="3"/>
        <v>-0.012502039085326433</v>
      </c>
      <c r="L5" s="14">
        <f ca="1" t="shared" si="3"/>
        <v>-0.010992021087702808</v>
      </c>
      <c r="M5" s="14">
        <f ca="1" t="shared" si="3"/>
        <v>-0.00748200309007907</v>
      </c>
    </row>
    <row r="6" spans="1:13" ht="12">
      <c r="A6" s="25">
        <f>AVERAGE(OptimalFrame!B7,OptimalFrame!B12,OptimalFrame!B17,OptimalFrame!B22,OptimalFrame!B27)</f>
        <v>-32.1998</v>
      </c>
      <c r="B6" s="14">
        <f ca="1">INDIRECT(ADDRESS(5+(ROW()-4)+(COLUMN()-2)*5,4,3,TRUE,"OptimalFrame"))</f>
        <v>-0.011057006522117052</v>
      </c>
      <c r="C6" s="14">
        <f ca="1" t="shared" si="1"/>
        <v>-0.001546988524493531</v>
      </c>
      <c r="D6" s="14">
        <f ca="1" t="shared" si="1"/>
        <v>0.0019630294731302067</v>
      </c>
      <c r="E6" s="14">
        <f ca="1" t="shared" si="1"/>
        <v>0.0054730474707539445</v>
      </c>
      <c r="F6" s="14">
        <f ca="1" t="shared" si="1"/>
        <v>-0.005018027587608609</v>
      </c>
      <c r="H6" s="25">
        <f t="shared" si="2"/>
        <v>-32.1998</v>
      </c>
      <c r="I6" s="14">
        <f ca="1">INDIRECT(ADDRESS(5+(ROW()-4)+(COLUMN()-9)*5,7,3,TRUE,"OptimalFrame"))</f>
        <v>0.015737918717777633</v>
      </c>
      <c r="J6" s="14">
        <f ca="1" t="shared" si="3"/>
        <v>-0.0007520632845986475</v>
      </c>
      <c r="K6" s="14">
        <f ca="1" t="shared" si="3"/>
        <v>0.0017579547130249784</v>
      </c>
      <c r="L6" s="14">
        <f ca="1" t="shared" si="3"/>
        <v>0.00026797271064860073</v>
      </c>
      <c r="M6" s="14">
        <f ca="1" t="shared" si="3"/>
        <v>0.003778023826324195</v>
      </c>
    </row>
    <row r="7" spans="1:13" ht="12">
      <c r="A7" s="25">
        <f>AVERAGE(OptimalFrame!B8,OptimalFrame!B13,OptimalFrame!B18,OptimalFrame!B23,OptimalFrame!B28)</f>
        <v>-17.799799999999998</v>
      </c>
      <c r="B7" s="14">
        <f ca="1">INDIRECT(ADDRESS(5+(ROW()-4)+(COLUMN()-2)*5,4,3,TRUE,"OptimalFrame"))</f>
        <v>-0.01579701272376577</v>
      </c>
      <c r="C7" s="14">
        <f ca="1" t="shared" si="1"/>
        <v>-0.0012869947261420212</v>
      </c>
      <c r="D7" s="14">
        <f ca="1" t="shared" si="1"/>
        <v>-0.002776976728518399</v>
      </c>
      <c r="E7" s="14">
        <f ca="1" t="shared" si="1"/>
        <v>0.0037330412691052306</v>
      </c>
      <c r="F7" s="14">
        <f ca="1" t="shared" si="1"/>
        <v>-0.003758033789257209</v>
      </c>
      <c r="H7" s="25">
        <f t="shared" si="2"/>
        <v>-17.799799999999998</v>
      </c>
      <c r="I7" s="14">
        <f ca="1">INDIRECT(ADDRESS(5+(ROW()-4)+(COLUMN()-9)*5,7,3,TRUE,"OptimalFrame"))</f>
        <v>0.015997945634180666</v>
      </c>
      <c r="J7" s="14">
        <f ca="1" t="shared" si="3"/>
        <v>-0.0014920694862472494</v>
      </c>
      <c r="K7" s="14">
        <f ca="1" t="shared" si="3"/>
        <v>0.006017981629428237</v>
      </c>
      <c r="L7" s="14">
        <f ca="1" t="shared" si="3"/>
        <v>0.006527966509000116</v>
      </c>
      <c r="M7" s="14">
        <f ca="1" t="shared" si="3"/>
        <v>0.00803798450662363</v>
      </c>
    </row>
    <row r="8" spans="1:13" ht="12">
      <c r="A8" s="25">
        <f>AVERAGE(OptimalFrame!B9,OptimalFrame!B14,OptimalFrame!B19,OptimalFrame!B24,OptimalFrame!B29)</f>
        <v>-3.3994</v>
      </c>
      <c r="B8" s="14">
        <f ca="1">INDIRECT(ADDRESS(5+(ROW()-4)+(COLUMN()-2)*5,4,3,TRUE,"OptimalFrame"))</f>
        <v>-0.011538111981400645</v>
      </c>
      <c r="C8" s="14">
        <f ca="1" t="shared" si="1"/>
        <v>0.0019719060162231017</v>
      </c>
      <c r="D8" s="14">
        <f ca="1" t="shared" si="1"/>
        <v>0.0014829839517811472</v>
      </c>
      <c r="E8" s="14">
        <f ca="1" t="shared" si="1"/>
        <v>-0.004006964932543378</v>
      </c>
      <c r="F8" s="14">
        <f ca="1" t="shared" si="1"/>
        <v>-0.0024980399909059203</v>
      </c>
      <c r="H8" s="25">
        <f t="shared" si="2"/>
        <v>-3.3994</v>
      </c>
      <c r="I8" s="14">
        <f ca="1">INDIRECT(ADDRESS(5+(ROW()-4)+(COLUMN()-9)*5,7,3,TRUE,"OptimalFrame"))</f>
        <v>0.0062579063144804215</v>
      </c>
      <c r="J8" s="14">
        <f ca="1" t="shared" si="3"/>
        <v>-0.008232075687895857</v>
      </c>
      <c r="K8" s="14">
        <f ca="1" t="shared" si="3"/>
        <v>-0.0027220576902723392</v>
      </c>
      <c r="L8" s="14">
        <f ca="1" t="shared" si="3"/>
        <v>-0.004212039692648717</v>
      </c>
      <c r="M8" s="14">
        <f ca="1" t="shared" si="3"/>
        <v>0.006297978304975138</v>
      </c>
    </row>
    <row r="9" spans="1:13" ht="12">
      <c r="A9" s="25">
        <f>AVERAGE(OptimalFrame!B31,OptimalFrame!B36,OptimalFrame!B41,OptimalFrame!B46,OptimalFrame!B51)</f>
        <v>2.0859999999999985</v>
      </c>
      <c r="B9" s="14">
        <f ca="1">INDIRECT(ADDRESS(31+(ROW()-9)+(COLUMN()-2)*5,4,3,TRUE,"OptimalFrame"))</f>
        <v>0.0047895857996551605</v>
      </c>
      <c r="C9" s="14">
        <f ca="1" t="shared" si="4" ref="C9:F13">INDIRECT(ADDRESS(31+(ROW()-9)+(COLUMN()-2)*5,4,3,TRUE,"OptimalFrame"))</f>
        <v>0.0059845890816278</v>
      </c>
      <c r="D9" s="14">
        <f ca="1" t="shared" si="4"/>
        <v>0.005179592363600327</v>
      </c>
      <c r="E9" s="14">
        <f ca="1" t="shared" si="4"/>
        <v>0.012374595645572861</v>
      </c>
      <c r="F9" s="14">
        <f ca="1" t="shared" si="4"/>
        <v>0.010569598927545387</v>
      </c>
      <c r="H9" s="25">
        <f t="shared" si="2"/>
        <v>2.0859999999999985</v>
      </c>
      <c r="I9" s="14">
        <f ca="1">INDIRECT(ADDRESS(31+(ROW()-9)+(COLUMN()-9)*5,7,3,TRUE,"OptimalFrame"))</f>
        <v>-0.008412992678723419</v>
      </c>
      <c r="J9" s="14">
        <f ca="1" t="shared" si="5" ref="J9:M13">INDIRECT(ADDRESS(31+(ROW()-9)+(COLUMN()-9)*5,7,3,TRUE,"OptimalFrame"))</f>
        <v>-0.009217989396750892</v>
      </c>
      <c r="K9" s="14">
        <f ca="1" t="shared" si="5"/>
        <v>-0.008022986114778363</v>
      </c>
      <c r="L9" s="14">
        <f ca="1" t="shared" si="5"/>
        <v>-0.005827982832805723</v>
      </c>
      <c r="M9" s="14">
        <f ca="1" t="shared" si="5"/>
        <v>-0.003632979550833193</v>
      </c>
    </row>
    <row r="10" spans="1:13" ht="12">
      <c r="A10" s="25">
        <f>AVERAGE(OptimalFrame!B32,OptimalFrame!B37,OptimalFrame!B42,OptimalFrame!B47,OptimalFrame!B52)</f>
        <v>16.9825</v>
      </c>
      <c r="B10" s="14">
        <f ca="1">INDIRECT(ADDRESS(31+(ROW()-9)+(COLUMN()-2)*5,4,3,TRUE,"OptimalFrame"))</f>
        <v>0.0015482859186767284</v>
      </c>
      <c r="C10" s="14">
        <f ca="1" t="shared" si="4"/>
        <v>0.0027432179343089835</v>
      </c>
      <c r="D10" s="14">
        <f ca="1" t="shared" si="4"/>
        <v>0.003438292482621841</v>
      </c>
      <c r="E10" s="14">
        <f ca="1" t="shared" si="4"/>
        <v>0.008133295764594428</v>
      </c>
      <c r="F10" s="14">
        <f ca="1" t="shared" si="4"/>
        <v>0.0018282277802266211</v>
      </c>
      <c r="H10" s="25">
        <f t="shared" si="2"/>
        <v>16.9825</v>
      </c>
      <c r="I10" s="14">
        <f ca="1">INDIRECT(ADDRESS(31+(ROW()-9)+(COLUMN()-9)*5,7,3,TRUE,"OptimalFrame"))</f>
        <v>-0.0006550240088404324</v>
      </c>
      <c r="J10" s="14">
        <f ca="1" t="shared" si="5"/>
        <v>-0.007960020726867967</v>
      </c>
      <c r="K10" s="14">
        <f ca="1" t="shared" si="5"/>
        <v>-0.004765017444895325</v>
      </c>
      <c r="L10" s="14">
        <f ca="1" t="shared" si="5"/>
        <v>-0.0040700141629227415</v>
      </c>
      <c r="M10" s="14">
        <f ca="1" t="shared" si="5"/>
        <v>-0.0003750108809500441</v>
      </c>
    </row>
    <row r="11" spans="1:13" ht="12">
      <c r="A11" s="25">
        <f>AVERAGE(OptimalFrame!B33,OptimalFrame!B38,OptimalFrame!B43,OptimalFrame!B48,OptimalFrame!B53)</f>
        <v>31.87900000000001</v>
      </c>
      <c r="B11" s="14">
        <f ca="1">INDIRECT(ADDRESS(31+(ROW()-9)+(COLUMN()-2)*5,4,3,TRUE,"OptimalFrame"))</f>
        <v>-0.0016930139623017038</v>
      </c>
      <c r="C11" s="14">
        <f ca="1" t="shared" si="4"/>
        <v>-0.0004981532130097222</v>
      </c>
      <c r="D11" s="14">
        <f ca="1" t="shared" si="4"/>
        <v>0.0016969926016434655</v>
      </c>
      <c r="E11" s="14">
        <f ca="1" t="shared" si="4"/>
        <v>0.003891995883615995</v>
      </c>
      <c r="F11" s="14">
        <f ca="1" t="shared" si="4"/>
        <v>-0.006913143367092034</v>
      </c>
      <c r="H11" s="25">
        <f t="shared" si="2"/>
        <v>31.87900000000001</v>
      </c>
      <c r="I11" s="14">
        <f ca="1">INDIRECT(ADDRESS(31+(ROW()-9)+(COLUMN()-9)*5,7,3,TRUE,"OptimalFrame"))</f>
        <v>0.007102944661042554</v>
      </c>
      <c r="J11" s="14">
        <f ca="1" t="shared" si="5"/>
        <v>-0.006702052056984931</v>
      </c>
      <c r="K11" s="14">
        <f ca="1" t="shared" si="5"/>
        <v>-0.0015070487750122874</v>
      </c>
      <c r="L11" s="14">
        <f ca="1" t="shared" si="5"/>
        <v>-0.0023120454930397605</v>
      </c>
      <c r="M11" s="14">
        <f ca="1" t="shared" si="5"/>
        <v>0.002882957788932994</v>
      </c>
    </row>
    <row r="12" spans="1:13" ht="12">
      <c r="A12" s="25">
        <f>AVERAGE(OptimalFrame!B34,OptimalFrame!B39,OptimalFrame!B44,OptimalFrame!B49,OptimalFrame!B54)</f>
        <v>46.278800000000004</v>
      </c>
      <c r="B12" s="14">
        <f ca="1">INDIRECT(ADDRESS(31+(ROW()-9)+(COLUMN()-2)*5,4,3,TRUE,"OptimalFrame"))</f>
        <v>0.009523733710904203</v>
      </c>
      <c r="C12" s="14">
        <f ca="1" t="shared" si="4"/>
        <v>0.009718736992876731</v>
      </c>
      <c r="D12" s="14">
        <f ca="1" t="shared" si="4"/>
        <v>0.003913740274849253</v>
      </c>
      <c r="E12" s="14">
        <f ca="1" t="shared" si="4"/>
        <v>0.009108743556821786</v>
      </c>
      <c r="F12" s="14">
        <f ca="1" t="shared" si="4"/>
        <v>-0.0016963376575718225</v>
      </c>
      <c r="H12" s="25">
        <f t="shared" si="2"/>
        <v>46.278800000000004</v>
      </c>
      <c r="I12" s="14">
        <f ca="1">INDIRECT(ADDRESS(31+(ROW()-9)+(COLUMN()-9)*5,7,3,TRUE,"OptimalFrame"))</f>
        <v>0.0003196923342484448</v>
      </c>
      <c r="J12" s="14">
        <f ca="1" t="shared" si="5"/>
        <v>-0.018485304383779044</v>
      </c>
      <c r="K12" s="14">
        <f ca="1" t="shared" si="5"/>
        <v>-0.008290301101806397</v>
      </c>
      <c r="L12" s="14">
        <f ca="1" t="shared" si="5"/>
        <v>-0.006095297819833756</v>
      </c>
      <c r="M12" s="14">
        <f ca="1" t="shared" si="5"/>
        <v>-0.004900294537861449</v>
      </c>
    </row>
    <row r="13" spans="1:13" ht="12">
      <c r="A13" s="25">
        <f>AVERAGE(OptimalFrame!B35,OptimalFrame!B40,OptimalFrame!B45,OptimalFrame!B50,OptimalFrame!B55)</f>
        <v>60.6788</v>
      </c>
      <c r="B13" s="14">
        <f ca="1">INDIRECT(ADDRESS(31+(ROW()-9)+(COLUMN()-2)*5,4,3,TRUE,"OptimalFrame"))</f>
        <v>0.030740481384110008</v>
      </c>
      <c r="C13" s="14">
        <f ca="1" t="shared" si="4"/>
        <v>0.029935484666082535</v>
      </c>
      <c r="D13" s="14">
        <f ca="1" t="shared" si="4"/>
        <v>0.02613048794805517</v>
      </c>
      <c r="E13" s="14">
        <f ca="1" t="shared" si="4"/>
        <v>0.032325406733661466</v>
      </c>
      <c r="F13" s="14">
        <f ca="1" t="shared" si="4"/>
        <v>0.013520494512000214</v>
      </c>
      <c r="H13" s="25">
        <f t="shared" si="2"/>
        <v>60.6788</v>
      </c>
      <c r="I13" s="14">
        <f ca="1">INDIRECT(ADDRESS(31+(ROW()-9)+(COLUMN()-9)*5,7,3,TRUE,"OptimalFrame"))</f>
        <v>-0.019463559992545676</v>
      </c>
      <c r="J13" s="14">
        <f ca="1" t="shared" si="5"/>
        <v>-0.038268556710573165</v>
      </c>
      <c r="K13" s="14">
        <f ca="1" t="shared" si="5"/>
        <v>-0.029073553428600518</v>
      </c>
      <c r="L13" s="14">
        <f ca="1" t="shared" si="5"/>
        <v>-0.021878550146627984</v>
      </c>
      <c r="M13" s="14">
        <f ca="1" t="shared" si="5"/>
        <v>-0.016683631361021578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orientation="landscape" paperSize="9" scale="91" r:id="rId2"/>
  <headerFooter alignWithMargins="0">
    <oddHeader>&amp;C&amp;F</oddHeader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5" sqref="A5:G55"/>
    </sheetView>
  </sheetViews>
  <sheetFormatPr defaultColWidth="9.140625" defaultRowHeight="12"/>
  <cols>
    <col min="1" max="1" width="15.7109375" style="0" customWidth="1"/>
    <col min="2" max="16384" width="12.00390625" style="0" customWidth="1"/>
  </cols>
  <sheetData>
    <row r="1" spans="1:7" ht="10.5">
      <c r="A1" t="s">
        <v>415</v>
      </c>
      <c r="F1" t="s">
        <v>416</v>
      </c>
      <c r="G1" t="s">
        <v>417</v>
      </c>
    </row>
    <row r="2" spans="1:2" ht="10.5">
      <c r="A2" t="s">
        <v>418</v>
      </c>
      <c r="B2">
        <v>1.170557441317908</v>
      </c>
    </row>
    <row r="3" spans="2:5" ht="10.5">
      <c r="B3" t="s">
        <v>310</v>
      </c>
      <c r="E3" t="s">
        <v>311</v>
      </c>
    </row>
    <row r="4" spans="1:7" ht="10.5">
      <c r="A4" t="s">
        <v>333</v>
      </c>
      <c r="B4" t="s">
        <v>312</v>
      </c>
      <c r="C4" t="s">
        <v>128</v>
      </c>
      <c r="D4" t="s">
        <v>292</v>
      </c>
      <c r="E4" t="s">
        <v>312</v>
      </c>
      <c r="F4" t="s">
        <v>128</v>
      </c>
      <c r="G4" t="s">
        <v>292</v>
      </c>
    </row>
    <row r="5" spans="1:7" ht="10.5">
      <c r="A5">
        <v>1</v>
      </c>
      <c r="B5">
        <v>-60.9996</v>
      </c>
      <c r="C5">
        <v>-17.700400000000002</v>
      </c>
      <c r="D5">
        <v>0.05535872652383809</v>
      </c>
      <c r="E5">
        <v>-60.998000000000005</v>
      </c>
      <c r="F5">
        <v>-43.89960000000001</v>
      </c>
      <c r="G5">
        <v>-0.05316649445273307</v>
      </c>
    </row>
    <row r="6" spans="1:7" ht="10.5">
      <c r="A6">
        <v>2</v>
      </c>
      <c r="B6">
        <v>-46.599599999999995</v>
      </c>
      <c r="C6">
        <v>-17.7</v>
      </c>
      <c r="D6">
        <v>0.023020582209032536</v>
      </c>
      <c r="E6">
        <v>-46.598</v>
      </c>
      <c r="F6">
        <v>-43.8998</v>
      </c>
      <c r="G6">
        <v>-0.019904524581474424</v>
      </c>
    </row>
    <row r="7" spans="1:7" ht="10.5">
      <c r="A7">
        <v>3</v>
      </c>
      <c r="B7">
        <v>-32.1998</v>
      </c>
      <c r="C7">
        <v>-17.700400000000002</v>
      </c>
      <c r="D7">
        <v>0.005082810224557343</v>
      </c>
      <c r="E7">
        <v>-32.198</v>
      </c>
      <c r="F7">
        <v>-43.9</v>
      </c>
      <c r="G7">
        <v>-0.0022425391258577452</v>
      </c>
    </row>
    <row r="8" spans="1:7" ht="10.5">
      <c r="A8">
        <v>4</v>
      </c>
      <c r="B8">
        <v>-17.7994</v>
      </c>
      <c r="C8">
        <v>-17.7</v>
      </c>
      <c r="D8">
        <v>-0.0018554027018063302</v>
      </c>
      <c r="E8">
        <v>-17.798000000000002</v>
      </c>
      <c r="F8">
        <v>-43.89960000000001</v>
      </c>
      <c r="G8">
        <v>0.004819495031146736</v>
      </c>
    </row>
    <row r="9" spans="1:7" ht="10.5">
      <c r="A9">
        <v>5</v>
      </c>
      <c r="B9">
        <v>-3.399600000000001</v>
      </c>
      <c r="C9">
        <v>-17.7</v>
      </c>
      <c r="D9">
        <v>0.00460656762061622</v>
      </c>
      <c r="E9">
        <v>-3.3980000000000032</v>
      </c>
      <c r="F9">
        <v>-43.9</v>
      </c>
      <c r="G9">
        <v>0.002681447629948197</v>
      </c>
    </row>
    <row r="10" spans="1:7" ht="10.5">
      <c r="A10">
        <v>6</v>
      </c>
      <c r="B10">
        <v>-60.999199999999995</v>
      </c>
      <c r="C10">
        <v>-2.3002000000000002</v>
      </c>
      <c r="D10">
        <v>0.05205880230847547</v>
      </c>
      <c r="E10">
        <v>-60.998000000000005</v>
      </c>
      <c r="F10">
        <v>-28.499599999999997</v>
      </c>
      <c r="G10">
        <v>-0.058666485641004865</v>
      </c>
    </row>
    <row r="11" spans="1:7" ht="10.5">
      <c r="A11">
        <v>7</v>
      </c>
      <c r="B11">
        <v>-46.5996</v>
      </c>
      <c r="C11">
        <v>-2.3002</v>
      </c>
      <c r="D11">
        <v>0.021120759881900764</v>
      </c>
      <c r="E11">
        <v>-46.598</v>
      </c>
      <c r="F11">
        <v>-28.5</v>
      </c>
      <c r="G11">
        <v>-0.029804525380416134</v>
      </c>
    </row>
    <row r="12" spans="1:7" ht="10.5">
      <c r="A12">
        <v>8</v>
      </c>
      <c r="B12">
        <v>-32.199</v>
      </c>
      <c r="C12">
        <v>-2.3004000000000007</v>
      </c>
      <c r="D12">
        <v>0.008582501652975605</v>
      </c>
      <c r="E12">
        <v>-32.198</v>
      </c>
      <c r="F12">
        <v>-28.4998</v>
      </c>
      <c r="G12">
        <v>-0.012542506807485254</v>
      </c>
    </row>
    <row r="13" spans="1:7" ht="10.5">
      <c r="A13">
        <v>9</v>
      </c>
      <c r="B13">
        <v>-17.7994</v>
      </c>
      <c r="C13">
        <v>-2.3</v>
      </c>
      <c r="D13">
        <v>-0.0023552171066518524</v>
      </c>
      <c r="E13">
        <v>-17.798000000000002</v>
      </c>
      <c r="F13">
        <v>-28.4998</v>
      </c>
      <c r="G13">
        <v>-0.005480515117966034</v>
      </c>
    </row>
    <row r="14" spans="1:7" ht="10.5">
      <c r="A14">
        <v>10</v>
      </c>
      <c r="B14">
        <v>-3.399400000000001</v>
      </c>
      <c r="C14">
        <v>-2.3</v>
      </c>
      <c r="D14">
        <v>0.00010659779944111047</v>
      </c>
      <c r="E14">
        <v>-3.3980000000000032</v>
      </c>
      <c r="F14">
        <v>-28.5</v>
      </c>
      <c r="G14">
        <v>-0.002818545246707349</v>
      </c>
    </row>
    <row r="15" spans="1:7" ht="10.5">
      <c r="A15">
        <v>11</v>
      </c>
      <c r="B15">
        <v>-60.999199999999995</v>
      </c>
      <c r="C15">
        <v>13.1</v>
      </c>
      <c r="D15">
        <v>0.044358534466260466</v>
      </c>
      <c r="E15">
        <v>-60.998000000000005</v>
      </c>
      <c r="F15">
        <v>-13.1</v>
      </c>
      <c r="G15">
        <v>-0.04356651163497458</v>
      </c>
    </row>
    <row r="16" spans="1:7" ht="10.5">
      <c r="A16">
        <v>12</v>
      </c>
      <c r="B16">
        <v>-46.599599999999995</v>
      </c>
      <c r="C16">
        <v>13.1</v>
      </c>
      <c r="D16">
        <v>0.01642059645572156</v>
      </c>
      <c r="E16">
        <v>-46.598</v>
      </c>
      <c r="F16">
        <v>-13.1</v>
      </c>
      <c r="G16">
        <v>-0.01570451825707171</v>
      </c>
    </row>
    <row r="17" spans="1:7" ht="10.5">
      <c r="A17">
        <v>13</v>
      </c>
      <c r="B17">
        <v>-32.1996</v>
      </c>
      <c r="C17">
        <v>13.099599999999999</v>
      </c>
      <c r="D17">
        <v>0.004082736876503956</v>
      </c>
      <c r="E17">
        <v>-32.198</v>
      </c>
      <c r="F17">
        <v>-13.1</v>
      </c>
      <c r="G17">
        <v>-0.003442524879168718</v>
      </c>
    </row>
    <row r="18" spans="1:7" ht="10.5">
      <c r="A18">
        <v>14</v>
      </c>
      <c r="B18">
        <v>-17.799799999999998</v>
      </c>
      <c r="C18">
        <v>13.1</v>
      </c>
      <c r="D18">
        <v>-0.0048551413717492055</v>
      </c>
      <c r="E18">
        <v>-17.798000000000002</v>
      </c>
      <c r="F18">
        <v>-13.1</v>
      </c>
      <c r="G18">
        <v>-0.0003805315012657795</v>
      </c>
    </row>
    <row r="19" spans="1:7" ht="10.5">
      <c r="A19">
        <v>15</v>
      </c>
      <c r="B19">
        <v>-3.3996000000000004</v>
      </c>
      <c r="C19">
        <v>13.1</v>
      </c>
      <c r="D19">
        <v>-0.0011932449387596744</v>
      </c>
      <c r="E19">
        <v>-3.3980000000000032</v>
      </c>
      <c r="F19">
        <v>-13.099399999999997</v>
      </c>
      <c r="G19">
        <v>-0.001118472149233396</v>
      </c>
    </row>
    <row r="20" spans="1:7" ht="10.5">
      <c r="A20">
        <v>16</v>
      </c>
      <c r="B20">
        <v>-60.999199999999995</v>
      </c>
      <c r="C20">
        <v>28.499200000000002</v>
      </c>
      <c r="D20">
        <v>0.045258750581035026</v>
      </c>
      <c r="E20">
        <v>-60.998000000000005</v>
      </c>
      <c r="F20">
        <v>2.3002</v>
      </c>
      <c r="G20">
        <v>-0.03866649658934389</v>
      </c>
    </row>
    <row r="21" spans="1:7" ht="10.5">
      <c r="A21">
        <v>17</v>
      </c>
      <c r="B21">
        <v>-46.599599999999995</v>
      </c>
      <c r="C21">
        <v>28.5</v>
      </c>
      <c r="D21">
        <v>0.016120608856940888</v>
      </c>
      <c r="E21">
        <v>-46.598</v>
      </c>
      <c r="F21">
        <v>2.3</v>
      </c>
      <c r="G21">
        <v>-0.008404511133727154</v>
      </c>
    </row>
    <row r="22" spans="1:7" ht="10.5">
      <c r="A22">
        <v>18</v>
      </c>
      <c r="B22">
        <v>-32.199400000000004</v>
      </c>
      <c r="C22">
        <v>28.4998</v>
      </c>
      <c r="D22">
        <v>0.00298248009490254</v>
      </c>
      <c r="E22">
        <v>-32.198</v>
      </c>
      <c r="F22">
        <v>2.3</v>
      </c>
      <c r="G22">
        <v>0.002857482244175746</v>
      </c>
    </row>
    <row r="23" spans="1:7" ht="10.5">
      <c r="A23">
        <v>19</v>
      </c>
      <c r="B23">
        <v>-17.799799999999998</v>
      </c>
      <c r="C23">
        <v>28.4998</v>
      </c>
      <c r="D23">
        <v>-0.005755147448565823</v>
      </c>
      <c r="E23">
        <v>-17.798000000000002</v>
      </c>
      <c r="F23">
        <v>2.3006000000000015</v>
      </c>
      <c r="G23">
        <v>0.009919524323466456</v>
      </c>
    </row>
    <row r="24" spans="1:7" ht="10.5">
      <c r="A24">
        <v>20</v>
      </c>
      <c r="B24">
        <v>-3.3998000000000004</v>
      </c>
      <c r="C24">
        <v>28.5</v>
      </c>
      <c r="D24">
        <v>-0.003693439342705518</v>
      </c>
      <c r="E24">
        <v>-3.3980000000000032</v>
      </c>
      <c r="F24">
        <v>2.3</v>
      </c>
      <c r="G24">
        <v>0.00598146899998162</v>
      </c>
    </row>
    <row r="25" spans="1:7" ht="10.5">
      <c r="A25">
        <v>21</v>
      </c>
      <c r="B25">
        <v>-60.9994</v>
      </c>
      <c r="C25">
        <v>43.899800000000006</v>
      </c>
      <c r="D25">
        <v>0.03315850215082483</v>
      </c>
      <c r="E25">
        <v>-60.998000000000005</v>
      </c>
      <c r="F25">
        <v>17.7</v>
      </c>
      <c r="G25">
        <v>-0.03296649738828563</v>
      </c>
    </row>
    <row r="26" spans="1:7" ht="10.5">
      <c r="A26">
        <v>22</v>
      </c>
      <c r="B26">
        <v>-46.5998</v>
      </c>
      <c r="C26">
        <v>43.9</v>
      </c>
      <c r="D26">
        <v>0.0014205876469301603</v>
      </c>
      <c r="E26">
        <v>-46.598</v>
      </c>
      <c r="F26">
        <v>17.700400000000002</v>
      </c>
      <c r="G26">
        <v>-0.0051044553087104426</v>
      </c>
    </row>
    <row r="27" spans="1:7" ht="10.5">
      <c r="A27">
        <v>23</v>
      </c>
      <c r="B27">
        <v>-32.1996</v>
      </c>
      <c r="C27">
        <v>43.9</v>
      </c>
      <c r="D27">
        <v>-0.014517390641811656</v>
      </c>
      <c r="E27">
        <v>-32.198</v>
      </c>
      <c r="F27">
        <v>17.7</v>
      </c>
      <c r="G27">
        <v>0.009157489367520233</v>
      </c>
    </row>
    <row r="28" spans="1:7" ht="10.5">
      <c r="A28">
        <v>24</v>
      </c>
      <c r="B28">
        <v>-17.799599999999998</v>
      </c>
      <c r="C28">
        <v>43.9</v>
      </c>
      <c r="D28">
        <v>-0.01905510406957984</v>
      </c>
      <c r="E28">
        <v>-17.798000000000002</v>
      </c>
      <c r="F28">
        <v>17.7</v>
      </c>
      <c r="G28">
        <v>0.01481948274542324</v>
      </c>
    </row>
    <row r="29" spans="1:7" ht="10.5">
      <c r="A29">
        <v>25</v>
      </c>
      <c r="B29">
        <v>-3.3998000000000004</v>
      </c>
      <c r="C29">
        <v>43.9</v>
      </c>
      <c r="D29">
        <v>-0.011593139025032163</v>
      </c>
      <c r="E29">
        <v>-3.3980000000000032</v>
      </c>
      <c r="F29">
        <v>17.7</v>
      </c>
      <c r="G29">
        <v>0.014881476123326087</v>
      </c>
    </row>
    <row r="30" spans="1:7" ht="10.5">
      <c r="A30" t="s">
        <v>335</v>
      </c>
      <c r="B30" t="s">
        <v>312</v>
      </c>
      <c r="C30" t="s">
        <v>128</v>
      </c>
      <c r="D30" t="s">
        <v>292</v>
      </c>
      <c r="E30" t="s">
        <v>312</v>
      </c>
      <c r="F30" t="s">
        <v>128</v>
      </c>
      <c r="G30" t="s">
        <v>292</v>
      </c>
    </row>
    <row r="31" spans="1:7" ht="10.5">
      <c r="A31">
        <v>1</v>
      </c>
      <c r="B31">
        <v>2.0859999999999985</v>
      </c>
      <c r="C31">
        <v>-17.7</v>
      </c>
      <c r="D31">
        <v>0.016402424720178766</v>
      </c>
      <c r="E31">
        <v>2.117999999999995</v>
      </c>
      <c r="F31">
        <v>-43.899</v>
      </c>
      <c r="G31">
        <v>-0.004867739265780146</v>
      </c>
    </row>
    <row r="32" spans="1:7" ht="10.5">
      <c r="A32">
        <v>2</v>
      </c>
      <c r="B32">
        <v>16.982400000000002</v>
      </c>
      <c r="C32">
        <v>-17.7003</v>
      </c>
      <c r="D32">
        <v>0.008935497327150644</v>
      </c>
      <c r="E32">
        <v>17.005</v>
      </c>
      <c r="F32">
        <v>-43.8985</v>
      </c>
      <c r="G32">
        <v>-0.0027331569250875986</v>
      </c>
    </row>
    <row r="33" spans="1:7" ht="10.5">
      <c r="A33">
        <v>3</v>
      </c>
      <c r="B33">
        <v>31.878800000000002</v>
      </c>
      <c r="C33">
        <v>-17.7006</v>
      </c>
      <c r="D33">
        <v>0.0014685699341225212</v>
      </c>
      <c r="E33">
        <v>31.891999999999996</v>
      </c>
      <c r="F33">
        <v>-43.898</v>
      </c>
      <c r="G33">
        <v>-0.0005985745843950285</v>
      </c>
    </row>
    <row r="34" spans="1:7" ht="10.5">
      <c r="A34">
        <v>4</v>
      </c>
      <c r="B34">
        <v>46.278999999999996</v>
      </c>
      <c r="C34">
        <v>-17.7</v>
      </c>
      <c r="D34">
        <v>0.016167635545002734</v>
      </c>
      <c r="E34">
        <v>46.2918</v>
      </c>
      <c r="F34">
        <v>-43.898</v>
      </c>
      <c r="G34">
        <v>-0.012299943442382921</v>
      </c>
    </row>
    <row r="35" spans="1:7" ht="10.5">
      <c r="A35">
        <v>5</v>
      </c>
      <c r="B35">
        <v>60.6788</v>
      </c>
      <c r="C35">
        <v>-17.7</v>
      </c>
      <c r="D35">
        <v>0.05046647741479976</v>
      </c>
      <c r="E35">
        <v>60.69199999999999</v>
      </c>
      <c r="F35">
        <v>-43.898</v>
      </c>
      <c r="G35">
        <v>-0.03520103036347929</v>
      </c>
    </row>
    <row r="36" spans="1:7" ht="10.5">
      <c r="A36">
        <v>6</v>
      </c>
      <c r="B36">
        <v>2.0859999999999985</v>
      </c>
      <c r="C36">
        <v>-2.3</v>
      </c>
      <c r="D36">
        <v>0.006150422333723982</v>
      </c>
      <c r="E36">
        <v>2.117999999999995</v>
      </c>
      <c r="F36">
        <v>-28.499000000000002</v>
      </c>
      <c r="G36">
        <v>-0.012919741652234862</v>
      </c>
    </row>
    <row r="37" spans="1:7" ht="10.5">
      <c r="A37">
        <v>7</v>
      </c>
      <c r="B37">
        <v>16.9825</v>
      </c>
      <c r="C37">
        <v>-2.3000999999999996</v>
      </c>
      <c r="D37">
        <v>0.0033836165936868222</v>
      </c>
      <c r="E37">
        <v>17.0049</v>
      </c>
      <c r="F37">
        <v>-28.4985</v>
      </c>
      <c r="G37">
        <v>-0.011785124431872828</v>
      </c>
    </row>
    <row r="38" spans="1:7" ht="10.5">
      <c r="A38">
        <v>8</v>
      </c>
      <c r="B38">
        <v>31.87900000000001</v>
      </c>
      <c r="C38">
        <v>-2.3002000000000002</v>
      </c>
      <c r="D38">
        <v>0.0006168108536497074</v>
      </c>
      <c r="E38">
        <v>31.8918</v>
      </c>
      <c r="F38">
        <v>-28.497999999999998</v>
      </c>
      <c r="G38">
        <v>-0.010650507211510729</v>
      </c>
    </row>
    <row r="39" spans="1:7" ht="10.5">
      <c r="A39">
        <v>9</v>
      </c>
      <c r="B39">
        <v>46.278600000000004</v>
      </c>
      <c r="C39">
        <v>-2.3002</v>
      </c>
      <c r="D39">
        <v>0.007515752846804303</v>
      </c>
      <c r="E39">
        <v>46.292</v>
      </c>
      <c r="F39">
        <v>-28.497999999999998</v>
      </c>
      <c r="G39">
        <v>-0.020751804860391944</v>
      </c>
    </row>
    <row r="40" spans="1:7" ht="10.5">
      <c r="A40">
        <v>10</v>
      </c>
      <c r="B40">
        <v>60.678999999999995</v>
      </c>
      <c r="C40">
        <v>-2.3002000000000002</v>
      </c>
      <c r="D40">
        <v>0.034614375593354285</v>
      </c>
      <c r="E40">
        <v>60.69199999999999</v>
      </c>
      <c r="F40">
        <v>-28.497999999999998</v>
      </c>
      <c r="G40">
        <v>-0.03985303274993409</v>
      </c>
    </row>
    <row r="41" spans="1:7" ht="10.5">
      <c r="A41">
        <v>11</v>
      </c>
      <c r="B41">
        <v>2.0859999999999985</v>
      </c>
      <c r="C41">
        <v>13.1</v>
      </c>
      <c r="D41">
        <v>0.0032984199472692044</v>
      </c>
      <c r="E41">
        <v>2.117999999999995</v>
      </c>
      <c r="F41">
        <v>-13.098999999999998</v>
      </c>
      <c r="G41">
        <v>-0.009371744038689655</v>
      </c>
    </row>
    <row r="42" spans="1:7" ht="10.5">
      <c r="A42">
        <v>12</v>
      </c>
      <c r="B42">
        <v>16.9825</v>
      </c>
      <c r="C42">
        <v>13.099799999999998</v>
      </c>
      <c r="D42">
        <v>0.00033158813568410215</v>
      </c>
      <c r="E42">
        <v>17.0049</v>
      </c>
      <c r="F42">
        <v>-13.098500000000001</v>
      </c>
      <c r="G42">
        <v>-0.006137137520121882</v>
      </c>
    </row>
    <row r="43" spans="1:7" ht="10.5">
      <c r="A43">
        <v>13</v>
      </c>
      <c r="B43">
        <v>31.87900000000001</v>
      </c>
      <c r="C43">
        <v>13.099599999999999</v>
      </c>
      <c r="D43">
        <v>-0.0026352436759009778</v>
      </c>
      <c r="E43">
        <v>31.8918</v>
      </c>
      <c r="F43">
        <v>-13.098000000000003</v>
      </c>
      <c r="G43">
        <v>-0.0029025310015541985</v>
      </c>
    </row>
    <row r="44" spans="1:7" ht="10.5">
      <c r="A44">
        <v>14</v>
      </c>
      <c r="B44">
        <v>46.278999999999996</v>
      </c>
      <c r="C44">
        <v>13.1</v>
      </c>
      <c r="D44">
        <v>0.0034636307720931512</v>
      </c>
      <c r="E44">
        <v>46.292</v>
      </c>
      <c r="F44">
        <v>-13.098000000000003</v>
      </c>
      <c r="G44">
        <v>-0.007403807246846772</v>
      </c>
    </row>
    <row r="45" spans="1:7" ht="10.5">
      <c r="A45">
        <v>15</v>
      </c>
      <c r="B45">
        <v>60.678999999999995</v>
      </c>
      <c r="C45">
        <v>13.099799999999998</v>
      </c>
      <c r="D45">
        <v>0.02716237320689947</v>
      </c>
      <c r="E45">
        <v>60.6918</v>
      </c>
      <c r="F45">
        <v>-13.098000000000003</v>
      </c>
      <c r="G45">
        <v>-0.025904965377049737</v>
      </c>
    </row>
    <row r="46" spans="1:7" ht="10.5">
      <c r="A46">
        <v>16</v>
      </c>
      <c r="B46">
        <v>2.0859999999999985</v>
      </c>
      <c r="C46">
        <v>28.5</v>
      </c>
      <c r="D46">
        <v>0.007046417560814411</v>
      </c>
      <c r="E46">
        <v>2.117999999999995</v>
      </c>
      <c r="F46">
        <v>2.3010000000000033</v>
      </c>
      <c r="G46">
        <v>-0.002223746425144424</v>
      </c>
    </row>
    <row r="47" spans="1:7" ht="10.5">
      <c r="A47">
        <v>17</v>
      </c>
      <c r="B47">
        <v>16.9825</v>
      </c>
      <c r="C47">
        <v>28.5</v>
      </c>
      <c r="D47">
        <v>0.0021796369179974294</v>
      </c>
      <c r="E47">
        <v>17.0048</v>
      </c>
      <c r="F47">
        <v>2.3015</v>
      </c>
      <c r="G47">
        <v>0.0006109133570833869</v>
      </c>
    </row>
    <row r="48" spans="1:7" ht="10.5">
      <c r="A48">
        <v>18</v>
      </c>
      <c r="B48">
        <v>31.87900000000001</v>
      </c>
      <c r="C48">
        <v>28.5</v>
      </c>
      <c r="D48">
        <v>-0.002687143724819485</v>
      </c>
      <c r="E48">
        <v>31.8916</v>
      </c>
      <c r="F48">
        <v>2.302000000000001</v>
      </c>
      <c r="G48">
        <v>0.003445573139311109</v>
      </c>
    </row>
    <row r="49" spans="1:7" ht="10.5">
      <c r="A49">
        <v>19</v>
      </c>
      <c r="B49">
        <v>46.278800000000004</v>
      </c>
      <c r="C49">
        <v>28.4998</v>
      </c>
      <c r="D49">
        <v>0.004611452222378421</v>
      </c>
      <c r="E49">
        <v>46.292</v>
      </c>
      <c r="F49">
        <v>2.302000000000001</v>
      </c>
      <c r="G49">
        <v>-0.00045580963330151827</v>
      </c>
    </row>
    <row r="50" spans="1:7" ht="10.5">
      <c r="A50">
        <v>20</v>
      </c>
      <c r="B50">
        <v>60.6786</v>
      </c>
      <c r="C50">
        <v>28.4994</v>
      </c>
      <c r="D50">
        <v>0.031110402847190223</v>
      </c>
      <c r="E50">
        <v>60.69199999999999</v>
      </c>
      <c r="F50">
        <v>2.302000000000001</v>
      </c>
      <c r="G50">
        <v>-0.02335703752284366</v>
      </c>
    </row>
    <row r="51" spans="1:7" ht="10.5">
      <c r="A51">
        <v>21</v>
      </c>
      <c r="B51">
        <v>2.0859999999999985</v>
      </c>
      <c r="C51">
        <v>43.9</v>
      </c>
      <c r="D51">
        <v>0.003994415174359589</v>
      </c>
      <c r="E51">
        <v>2.117999999999995</v>
      </c>
      <c r="F51">
        <v>17.701</v>
      </c>
      <c r="G51">
        <v>0.007324251188400766</v>
      </c>
    </row>
    <row r="52" spans="1:7" ht="10.5">
      <c r="A52">
        <v>22</v>
      </c>
      <c r="B52">
        <v>16.9825</v>
      </c>
      <c r="C52">
        <v>43.9</v>
      </c>
      <c r="D52">
        <v>-0.007572365468457321</v>
      </c>
      <c r="E52">
        <v>17.005</v>
      </c>
      <c r="F52">
        <v>17.701500000000003</v>
      </c>
      <c r="G52">
        <v>0.010458833529093247</v>
      </c>
    </row>
    <row r="53" spans="1:7" ht="10.5">
      <c r="A53">
        <v>23</v>
      </c>
      <c r="B53">
        <v>31.87900000000001</v>
      </c>
      <c r="C53">
        <v>43.9</v>
      </c>
      <c r="D53">
        <v>-0.019139146111274298</v>
      </c>
      <c r="E53">
        <v>31.891999999999996</v>
      </c>
      <c r="F53">
        <v>17.701999999999998</v>
      </c>
      <c r="G53">
        <v>0.013593415869785819</v>
      </c>
    </row>
    <row r="54" spans="1:7" ht="10.5">
      <c r="A54">
        <v>24</v>
      </c>
      <c r="B54">
        <v>46.278999999999996</v>
      </c>
      <c r="C54">
        <v>43.899800000000006</v>
      </c>
      <c r="D54">
        <v>-0.010640403676467947</v>
      </c>
      <c r="E54">
        <v>46.292</v>
      </c>
      <c r="F54">
        <v>17.701999999999998</v>
      </c>
      <c r="G54">
        <v>0.005492187980243623</v>
      </c>
    </row>
    <row r="55" spans="1:7" ht="10.5">
      <c r="A55">
        <v>25</v>
      </c>
      <c r="B55">
        <v>60.678999999999995</v>
      </c>
      <c r="C55">
        <v>43.8998</v>
      </c>
      <c r="D55">
        <v>0.018258362914827277</v>
      </c>
      <c r="E55">
        <v>60.69199999999999</v>
      </c>
      <c r="F55">
        <v>17.701999999999998</v>
      </c>
      <c r="G55">
        <v>-0.016009039909298427</v>
      </c>
    </row>
  </sheetData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A31">
      <selection activeCell="H4" sqref="H4"/>
    </sheetView>
  </sheetViews>
  <sheetFormatPr defaultColWidth="9.140625" defaultRowHeight="12"/>
  <cols>
    <col min="1" max="3" width="12.00390625" style="0" customWidth="1"/>
    <col min="4" max="4" width="13.00390625" style="0" customWidth="1"/>
    <col min="5" max="16384" width="12.00390625" style="0" customWidth="1"/>
  </cols>
  <sheetData>
    <row r="1" ht="10.5">
      <c r="A1" t="s">
        <v>419</v>
      </c>
    </row>
    <row r="2" spans="1:8" ht="10.5">
      <c r="A2" t="s">
        <v>310</v>
      </c>
      <c r="H2" t="s">
        <v>311</v>
      </c>
    </row>
    <row r="3" spans="1:13" ht="10.5">
      <c r="A3" t="s">
        <v>387</v>
      </c>
      <c r="B3" s="25">
        <f>AVERAGE(CommonProfile!C5:C9,CommonProfile!C31:C35)</f>
        <v>-17.70017</v>
      </c>
      <c r="C3" s="25">
        <f>AVERAGE(CommonProfile!C10:C14,CommonProfile!C36:C40)</f>
        <v>-2.3001500000000004</v>
      </c>
      <c r="D3" s="25">
        <f>AVERAGE(CommonProfile!C15:C19,CommonProfile!C41:C45)</f>
        <v>13.099879999999999</v>
      </c>
      <c r="E3" s="25">
        <f>AVERAGE(CommonProfile!C20:C24,CommonProfile!C46:C50)</f>
        <v>28.4998</v>
      </c>
      <c r="F3" s="25">
        <f>AVERAGE(CommonProfile!C25:C29,CommonProfile!C51:C55)</f>
        <v>43.89994</v>
      </c>
      <c r="H3" t="str">
        <f aca="true" t="shared" si="0" ref="H3:M3">A3</f>
        <v>x\y</v>
      </c>
      <c r="I3" s="25">
        <f t="shared" si="0"/>
        <v>-17.70017</v>
      </c>
      <c r="J3" s="25">
        <f t="shared" si="0"/>
        <v>-2.3001500000000004</v>
      </c>
      <c r="K3" s="25">
        <f t="shared" si="0"/>
        <v>13.099879999999999</v>
      </c>
      <c r="L3" s="25">
        <f t="shared" si="0"/>
        <v>28.4998</v>
      </c>
      <c r="M3" s="25">
        <f t="shared" si="0"/>
        <v>43.89994</v>
      </c>
    </row>
    <row r="4" spans="1:13" ht="10.5">
      <c r="A4" s="25">
        <f>AVERAGE(CommonProfile!B5,CommonProfile!B10,CommonProfile!B15,CommonProfile!B20,CommonProfile!B25)</f>
        <v>-60.99932</v>
      </c>
      <c r="B4" s="14">
        <f ca="1" t="shared" si="1" ref="B4:F8">INDIRECT(ADDRESS(5+(ROW()-4)+(COLUMN()-2)*5,4,3,TRUE,"CommonProfile"))</f>
        <v>0.05535872652383809</v>
      </c>
      <c r="C4" s="14">
        <f ca="1" t="shared" si="1"/>
        <v>0.05205880230847547</v>
      </c>
      <c r="D4" s="14">
        <f ca="1" t="shared" si="1"/>
        <v>0.044358534466260466</v>
      </c>
      <c r="E4" s="14">
        <f ca="1" t="shared" si="1"/>
        <v>0.045258750581035026</v>
      </c>
      <c r="F4" s="14">
        <f ca="1" t="shared" si="1"/>
        <v>0.03315850215082483</v>
      </c>
      <c r="H4" s="25">
        <f aca="true" t="shared" si="2" ref="H4:H13">A4</f>
        <v>-60.99932</v>
      </c>
      <c r="I4" s="14">
        <f ca="1" t="shared" si="3" ref="I4:M8">INDIRECT(ADDRESS(5+(ROW()-4)+(COLUMN()-9)*5,7,3,TRUE,"CommonProfile"))</f>
        <v>-0.05316649445273307</v>
      </c>
      <c r="J4" s="14">
        <f ca="1" t="shared" si="3"/>
        <v>-0.058666485641004865</v>
      </c>
      <c r="K4" s="14">
        <f ca="1" t="shared" si="3"/>
        <v>-0.04356651163497458</v>
      </c>
      <c r="L4" s="14">
        <f ca="1" t="shared" si="3"/>
        <v>-0.03866649658934389</v>
      </c>
      <c r="M4" s="14">
        <f ca="1" t="shared" si="3"/>
        <v>-0.03296649738828563</v>
      </c>
    </row>
    <row r="5" spans="1:13" ht="10.5">
      <c r="A5" s="25">
        <f>AVERAGE(CommonProfile!B6,CommonProfile!B11,CommonProfile!B16,CommonProfile!B21,CommonProfile!B26)</f>
        <v>-46.59964</v>
      </c>
      <c r="B5" s="14">
        <f ca="1" t="shared" si="1"/>
        <v>0.023020582209032536</v>
      </c>
      <c r="C5" s="14">
        <f ca="1" t="shared" si="1"/>
        <v>0.021120759881900764</v>
      </c>
      <c r="D5" s="14">
        <f ca="1" t="shared" si="1"/>
        <v>0.01642059645572156</v>
      </c>
      <c r="E5" s="14">
        <f ca="1" t="shared" si="1"/>
        <v>0.016120608856940888</v>
      </c>
      <c r="F5" s="14">
        <f ca="1" t="shared" si="1"/>
        <v>0.0014205876469301603</v>
      </c>
      <c r="H5" s="25">
        <f t="shared" si="2"/>
        <v>-46.59964</v>
      </c>
      <c r="I5" s="14">
        <f ca="1" t="shared" si="3"/>
        <v>-0.019904524581474424</v>
      </c>
      <c r="J5" s="14">
        <f ca="1" t="shared" si="3"/>
        <v>-0.029804525380416134</v>
      </c>
      <c r="K5" s="14">
        <f ca="1" t="shared" si="3"/>
        <v>-0.01570451825707171</v>
      </c>
      <c r="L5" s="14">
        <f ca="1" t="shared" si="3"/>
        <v>-0.008404511133727154</v>
      </c>
      <c r="M5" s="14">
        <f ca="1" t="shared" si="3"/>
        <v>-0.0051044553087104426</v>
      </c>
    </row>
    <row r="6" spans="1:13" ht="10.5">
      <c r="A6" s="25">
        <f>AVERAGE(CommonProfile!B7,CommonProfile!B12,CommonProfile!B17,CommonProfile!B22,CommonProfile!B27)</f>
        <v>-32.19948</v>
      </c>
      <c r="B6" s="14">
        <f ca="1" t="shared" si="1"/>
        <v>0.005082810224557343</v>
      </c>
      <c r="C6" s="14">
        <f ca="1" t="shared" si="1"/>
        <v>0.008582501652975605</v>
      </c>
      <c r="D6" s="14">
        <f ca="1" t="shared" si="1"/>
        <v>0.004082736876503956</v>
      </c>
      <c r="E6" s="14">
        <f ca="1" t="shared" si="1"/>
        <v>0.00298248009490254</v>
      </c>
      <c r="F6" s="14">
        <f ca="1" t="shared" si="1"/>
        <v>-0.014517390641811656</v>
      </c>
      <c r="H6" s="25">
        <f t="shared" si="2"/>
        <v>-32.19948</v>
      </c>
      <c r="I6" s="14">
        <f ca="1" t="shared" si="3"/>
        <v>-0.0022425391258577452</v>
      </c>
      <c r="J6" s="14">
        <f ca="1" t="shared" si="3"/>
        <v>-0.012542506807485254</v>
      </c>
      <c r="K6" s="14">
        <f ca="1" t="shared" si="3"/>
        <v>-0.003442524879168718</v>
      </c>
      <c r="L6" s="14">
        <f ca="1" t="shared" si="3"/>
        <v>0.002857482244175746</v>
      </c>
      <c r="M6" s="14">
        <f ca="1" t="shared" si="3"/>
        <v>0.009157489367520233</v>
      </c>
    </row>
    <row r="7" spans="1:13" ht="10.5">
      <c r="A7" s="25">
        <f>AVERAGE(CommonProfile!B8,CommonProfile!B13,CommonProfile!B18,CommonProfile!B23,CommonProfile!B28)</f>
        <v>-17.799599999999998</v>
      </c>
      <c r="B7" s="14">
        <f ca="1" t="shared" si="1"/>
        <v>-0.0018554027018063302</v>
      </c>
      <c r="C7" s="14">
        <f ca="1" t="shared" si="1"/>
        <v>-0.0023552171066518524</v>
      </c>
      <c r="D7" s="14">
        <f ca="1" t="shared" si="1"/>
        <v>-0.0048551413717492055</v>
      </c>
      <c r="E7" s="14">
        <f ca="1" t="shared" si="1"/>
        <v>-0.005755147448565823</v>
      </c>
      <c r="F7" s="14">
        <f ca="1" t="shared" si="1"/>
        <v>-0.01905510406957984</v>
      </c>
      <c r="H7" s="25">
        <f t="shared" si="2"/>
        <v>-17.799599999999998</v>
      </c>
      <c r="I7" s="14">
        <f ca="1" t="shared" si="3"/>
        <v>0.004819495031146736</v>
      </c>
      <c r="J7" s="14">
        <f ca="1" t="shared" si="3"/>
        <v>-0.005480515117966034</v>
      </c>
      <c r="K7" s="14">
        <f ca="1" t="shared" si="3"/>
        <v>-0.0003805315012657795</v>
      </c>
      <c r="L7" s="14">
        <f ca="1" t="shared" si="3"/>
        <v>0.009919524323466456</v>
      </c>
      <c r="M7" s="14">
        <f ca="1" t="shared" si="3"/>
        <v>0.01481948274542324</v>
      </c>
    </row>
    <row r="8" spans="1:13" ht="10.5">
      <c r="A8" s="25">
        <f>AVERAGE(CommonProfile!B9,CommonProfile!B14,CommonProfile!B19,CommonProfile!B24,CommonProfile!B29)</f>
        <v>-3.3996400000000007</v>
      </c>
      <c r="B8" s="14">
        <f ca="1" t="shared" si="1"/>
        <v>0.00460656762061622</v>
      </c>
      <c r="C8" s="14">
        <f ca="1" t="shared" si="1"/>
        <v>0.00010659779944111047</v>
      </c>
      <c r="D8" s="14">
        <f ca="1" t="shared" si="1"/>
        <v>-0.0011932449387596744</v>
      </c>
      <c r="E8" s="14">
        <f ca="1" t="shared" si="1"/>
        <v>-0.003693439342705518</v>
      </c>
      <c r="F8" s="14">
        <f ca="1" t="shared" si="1"/>
        <v>-0.011593139025032163</v>
      </c>
      <c r="H8" s="25">
        <f t="shared" si="2"/>
        <v>-3.3996400000000007</v>
      </c>
      <c r="I8" s="14">
        <f ca="1" t="shared" si="3"/>
        <v>0.002681447629948197</v>
      </c>
      <c r="J8" s="14">
        <f ca="1" t="shared" si="3"/>
        <v>-0.002818545246707349</v>
      </c>
      <c r="K8" s="14">
        <f ca="1" t="shared" si="3"/>
        <v>-0.001118472149233396</v>
      </c>
      <c r="L8" s="14">
        <f ca="1" t="shared" si="3"/>
        <v>0.00598146899998162</v>
      </c>
      <c r="M8" s="14">
        <f ca="1" t="shared" si="3"/>
        <v>0.014881476123326087</v>
      </c>
    </row>
    <row r="9" spans="1:13" ht="10.5">
      <c r="A9" s="25">
        <f>AVERAGE(CommonProfile!B31,CommonProfile!B36,CommonProfile!B41,CommonProfile!B46,CommonProfile!B51)</f>
        <v>2.0859999999999985</v>
      </c>
      <c r="B9" s="14">
        <f ca="1" t="shared" si="4" ref="B9:F13">INDIRECT(ADDRESS(31+(ROW()-9)+(COLUMN()-2)*5,4,3,TRUE,"CommonProfile"))</f>
        <v>0.016402424720178766</v>
      </c>
      <c r="C9" s="14">
        <f ca="1" t="shared" si="4"/>
        <v>0.006150422333723982</v>
      </c>
      <c r="D9" s="14">
        <f ca="1" t="shared" si="4"/>
        <v>0.0032984199472692044</v>
      </c>
      <c r="E9" s="14">
        <f ca="1" t="shared" si="4"/>
        <v>0.007046417560814411</v>
      </c>
      <c r="F9" s="14">
        <f ca="1" t="shared" si="4"/>
        <v>0.003994415174359589</v>
      </c>
      <c r="H9" s="25">
        <f t="shared" si="2"/>
        <v>2.0859999999999985</v>
      </c>
      <c r="I9" s="14">
        <f ca="1" t="shared" si="5" ref="I9:M13">INDIRECT(ADDRESS(31+(ROW()-9)+(COLUMN()-9)*5,7,3,TRUE,"CommonProfile"))</f>
        <v>-0.004867739265780146</v>
      </c>
      <c r="J9" s="14">
        <f ca="1" t="shared" si="5"/>
        <v>-0.012919741652234862</v>
      </c>
      <c r="K9" s="14">
        <f ca="1" t="shared" si="5"/>
        <v>-0.009371744038689655</v>
      </c>
      <c r="L9" s="14">
        <f ca="1" t="shared" si="5"/>
        <v>-0.002223746425144424</v>
      </c>
      <c r="M9" s="14">
        <f ca="1" t="shared" si="5"/>
        <v>0.007324251188400766</v>
      </c>
    </row>
    <row r="10" spans="1:13" ht="10.5">
      <c r="A10" s="25">
        <f>AVERAGE(CommonProfile!B32,CommonProfile!B37,CommonProfile!B42,CommonProfile!B47,CommonProfile!B52)</f>
        <v>16.982480000000002</v>
      </c>
      <c r="B10" s="14">
        <f ca="1" t="shared" si="4"/>
        <v>0.008935497327150644</v>
      </c>
      <c r="C10" s="14">
        <f ca="1" t="shared" si="4"/>
        <v>0.0033836165936868222</v>
      </c>
      <c r="D10" s="14">
        <f ca="1" t="shared" si="4"/>
        <v>0.00033158813568410215</v>
      </c>
      <c r="E10" s="14">
        <f ca="1" t="shared" si="4"/>
        <v>0.0021796369179974294</v>
      </c>
      <c r="F10" s="14">
        <f ca="1" t="shared" si="4"/>
        <v>-0.007572365468457321</v>
      </c>
      <c r="H10" s="25">
        <f t="shared" si="2"/>
        <v>16.982480000000002</v>
      </c>
      <c r="I10" s="14">
        <f ca="1" t="shared" si="5"/>
        <v>-0.0027331569250875986</v>
      </c>
      <c r="J10" s="14">
        <f ca="1" t="shared" si="5"/>
        <v>-0.011785124431872828</v>
      </c>
      <c r="K10" s="14">
        <f ca="1" t="shared" si="5"/>
        <v>-0.006137137520121882</v>
      </c>
      <c r="L10" s="14">
        <f ca="1" t="shared" si="5"/>
        <v>0.0006109133570833869</v>
      </c>
      <c r="M10" s="14">
        <f ca="1" t="shared" si="5"/>
        <v>0.010458833529093247</v>
      </c>
    </row>
    <row r="11" spans="1:13" ht="10.5">
      <c r="A11" s="25">
        <f>AVERAGE(CommonProfile!B33,CommonProfile!B38,CommonProfile!B43,CommonProfile!B48,CommonProfile!B53)</f>
        <v>31.878960000000006</v>
      </c>
      <c r="B11" s="14">
        <f ca="1" t="shared" si="4"/>
        <v>0.0014685699341225212</v>
      </c>
      <c r="C11" s="14">
        <f ca="1" t="shared" si="4"/>
        <v>0.0006168108536497074</v>
      </c>
      <c r="D11" s="14">
        <f ca="1" t="shared" si="4"/>
        <v>-0.0026352436759009778</v>
      </c>
      <c r="E11" s="14">
        <f ca="1" t="shared" si="4"/>
        <v>-0.002687143724819485</v>
      </c>
      <c r="F11" s="14">
        <f ca="1" t="shared" si="4"/>
        <v>-0.019139146111274298</v>
      </c>
      <c r="H11" s="25">
        <f t="shared" si="2"/>
        <v>31.878960000000006</v>
      </c>
      <c r="I11" s="14">
        <f ca="1" t="shared" si="5"/>
        <v>-0.0005985745843950285</v>
      </c>
      <c r="J11" s="14">
        <f ca="1" t="shared" si="5"/>
        <v>-0.010650507211510729</v>
      </c>
      <c r="K11" s="14">
        <f ca="1" t="shared" si="5"/>
        <v>-0.0029025310015541985</v>
      </c>
      <c r="L11" s="14">
        <f ca="1" t="shared" si="5"/>
        <v>0.003445573139311109</v>
      </c>
      <c r="M11" s="14">
        <f ca="1" t="shared" si="5"/>
        <v>0.013593415869785819</v>
      </c>
    </row>
    <row r="12" spans="1:13" ht="10.5">
      <c r="A12" s="25">
        <f>AVERAGE(CommonProfile!B34,CommonProfile!B39,CommonProfile!B44,CommonProfile!B49,CommonProfile!B54)</f>
        <v>46.27888</v>
      </c>
      <c r="B12" s="14">
        <f ca="1" t="shared" si="4"/>
        <v>0.016167635545002734</v>
      </c>
      <c r="C12" s="14">
        <f ca="1" t="shared" si="4"/>
        <v>0.007515752846804303</v>
      </c>
      <c r="D12" s="14">
        <f ca="1" t="shared" si="4"/>
        <v>0.0034636307720931512</v>
      </c>
      <c r="E12" s="14">
        <f ca="1" t="shared" si="4"/>
        <v>0.004611452222378421</v>
      </c>
      <c r="F12" s="14">
        <f ca="1" t="shared" si="4"/>
        <v>-0.010640403676467947</v>
      </c>
      <c r="H12" s="25">
        <f t="shared" si="2"/>
        <v>46.27888</v>
      </c>
      <c r="I12" s="14">
        <f ca="1" t="shared" si="5"/>
        <v>-0.012299943442382921</v>
      </c>
      <c r="J12" s="14">
        <f ca="1" t="shared" si="5"/>
        <v>-0.020751804860391944</v>
      </c>
      <c r="K12" s="14">
        <f ca="1" t="shared" si="5"/>
        <v>-0.007403807246846772</v>
      </c>
      <c r="L12" s="14">
        <f ca="1" t="shared" si="5"/>
        <v>-0.00045580963330151827</v>
      </c>
      <c r="M12" s="14">
        <f ca="1" t="shared" si="5"/>
        <v>0.005492187980243623</v>
      </c>
    </row>
    <row r="13" spans="1:13" ht="10.5">
      <c r="A13" s="25">
        <f>AVERAGE(CommonProfile!B35,CommonProfile!B40,CommonProfile!B45,CommonProfile!B50,CommonProfile!B55)</f>
        <v>60.67887999999999</v>
      </c>
      <c r="B13" s="14">
        <f ca="1" t="shared" si="4"/>
        <v>0.05046647741479976</v>
      </c>
      <c r="C13" s="14">
        <f ca="1" t="shared" si="4"/>
        <v>0.034614375593354285</v>
      </c>
      <c r="D13" s="14">
        <f ca="1" t="shared" si="4"/>
        <v>0.02716237320689947</v>
      </c>
      <c r="E13" s="14">
        <f ca="1" t="shared" si="4"/>
        <v>0.031110402847190223</v>
      </c>
      <c r="F13" s="14">
        <f ca="1" t="shared" si="4"/>
        <v>0.018258362914827277</v>
      </c>
      <c r="H13" s="25">
        <f t="shared" si="2"/>
        <v>60.67887999999999</v>
      </c>
      <c r="I13" s="14">
        <f ca="1" t="shared" si="5"/>
        <v>-0.03520103036347929</v>
      </c>
      <c r="J13" s="14">
        <f ca="1" t="shared" si="5"/>
        <v>-0.03985303274993409</v>
      </c>
      <c r="K13" s="14">
        <f ca="1" t="shared" si="5"/>
        <v>-0.025904965377049737</v>
      </c>
      <c r="L13" s="14">
        <f ca="1" t="shared" si="5"/>
        <v>-0.02335703752284366</v>
      </c>
      <c r="M13" s="14">
        <f ca="1" t="shared" si="5"/>
        <v>-0.016009039909298427</v>
      </c>
    </row>
  </sheetData>
  <printOptions/>
  <pageMargins left="0.75" right="0.75" top="1" bottom="1" header="0.512" footer="0.512"/>
  <pageSetup fitToHeight="1" fitToWidth="1" orientation="landscape" paperSize="9" scale="92" r:id="rId2"/>
  <headerFooter alignWithMargins="0">
    <oddHeader>&amp;C&amp;F</oddHeader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workbookViewId="0" topLeftCell="A38">
      <selection activeCell="C55" sqref="C55"/>
    </sheetView>
  </sheetViews>
  <sheetFormatPr defaultColWidth="9.140625" defaultRowHeight="12"/>
  <cols>
    <col min="1" max="3" width="12.00390625" style="0" customWidth="1"/>
    <col min="4" max="4" width="11.28125" style="0" customWidth="1"/>
    <col min="5" max="8" width="12.00390625" style="0" customWidth="1"/>
    <col min="9" max="9" width="17.8515625" style="0" customWidth="1"/>
    <col min="10" max="16384" width="12.00390625" style="0" customWidth="1"/>
  </cols>
  <sheetData>
    <row r="1" ht="10.5">
      <c r="A1" t="s">
        <v>420</v>
      </c>
    </row>
    <row r="3" spans="2:10" ht="10.5">
      <c r="B3" t="str">
        <f>LoFacingFrame!B3</f>
        <v>Lower</v>
      </c>
      <c r="E3" t="str">
        <f>LoFacingFrame!E3</f>
        <v>Upper</v>
      </c>
      <c r="I3" t="s">
        <v>421</v>
      </c>
      <c r="J3" t="s">
        <v>391</v>
      </c>
    </row>
    <row r="4" spans="1:10" ht="10.5">
      <c r="A4" t="str">
        <f>MidplaneFrame!A4</f>
        <v>LeftSensor</v>
      </c>
      <c r="B4" t="str">
        <f>MidplaneFrame!B4</f>
        <v>x</v>
      </c>
      <c r="C4" t="str">
        <f>MidplaneFrame!C4</f>
        <v>y</v>
      </c>
      <c r="D4" t="str">
        <f>MidplaneFrame!D4</f>
        <v>z</v>
      </c>
      <c r="E4" t="str">
        <f>MidplaneFrame!E4</f>
        <v>x</v>
      </c>
      <c r="F4" t="str">
        <f>MidplaneFrame!F4</f>
        <v>y</v>
      </c>
      <c r="G4" t="str">
        <f>MidplaneFrame!G4</f>
        <v>z</v>
      </c>
      <c r="I4" t="s">
        <v>422</v>
      </c>
      <c r="J4">
        <f>OptimalFrame!B2-CommonProfile!B2</f>
        <v>-0.05247410798457497</v>
      </c>
    </row>
    <row r="5" spans="1:10" ht="10.5">
      <c r="A5">
        <f>'[1]MidplaneFrame'!A5</f>
        <v>1</v>
      </c>
      <c r="B5">
        <f>MidplaneFrame!B5</f>
        <v>-60.999</v>
      </c>
      <c r="C5">
        <f>MidplaneFrame!C5</f>
        <v>1.2000000000000028</v>
      </c>
      <c r="D5">
        <f>OptimalFrame!D5-CommonProfile!D5</f>
        <v>-0.02493681369864429</v>
      </c>
      <c r="E5">
        <f>MidplaneFrame!E5</f>
        <v>-60.998</v>
      </c>
      <c r="F5">
        <f>MidplaneFrame!F5</f>
        <v>-62.799</v>
      </c>
      <c r="G5">
        <f>OptimalFrame!G5-CommonProfile!G5</f>
        <v>0.026384458691859722</v>
      </c>
      <c r="I5" t="s">
        <v>423</v>
      </c>
      <c r="J5">
        <f>MAX(ABS(MIN(D5:D29,D31:D55)),ABS(MAX(D5:D29,D31:D55)))</f>
        <v>0.02493681369864429</v>
      </c>
    </row>
    <row r="6" spans="1:10" ht="10.5">
      <c r="A6">
        <f>'[1]MidplaneFrame'!A6</f>
        <v>2</v>
      </c>
      <c r="B6">
        <f>MidplaneFrame!B6</f>
        <v>-46.6</v>
      </c>
      <c r="C6">
        <f>MidplaneFrame!C6</f>
        <v>1.2000000000000028</v>
      </c>
      <c r="D6">
        <f>OptimalFrame!D6-CommonProfile!D6</f>
        <v>-0.020337582529501085</v>
      </c>
      <c r="E6">
        <f>MidplaneFrame!E6</f>
        <v>-46.598</v>
      </c>
      <c r="F6">
        <f>MidplaneFrame!F6</f>
        <v>-62.8</v>
      </c>
      <c r="G6">
        <f>OptimalFrame!G6-CommonProfile!G6</f>
        <v>0.021382449500900645</v>
      </c>
      <c r="I6" t="s">
        <v>424</v>
      </c>
      <c r="J6">
        <f>MAX(ABS(MAX(G5:G29,G31:G55)),ABS(MIN(G5:G29,G31:G55)))</f>
        <v>0.026384458691859722</v>
      </c>
    </row>
    <row r="7" spans="1:10" ht="10.5">
      <c r="A7">
        <f>'[1]MidplaneFrame'!A7</f>
        <v>3</v>
      </c>
      <c r="B7">
        <f>MidplaneFrame!B7</f>
        <v>-32.2</v>
      </c>
      <c r="C7">
        <f>MidplaneFrame!C7</f>
        <v>1.2000000000000028</v>
      </c>
      <c r="D7">
        <f>OptimalFrame!D7-CommonProfile!D7</f>
        <v>-0.016139816746674397</v>
      </c>
      <c r="E7">
        <f>MidplaneFrame!E7</f>
        <v>-32.198</v>
      </c>
      <c r="F7">
        <f>MidplaneFrame!F7</f>
        <v>-62.8</v>
      </c>
      <c r="G7">
        <f>OptimalFrame!G7-CommonProfile!G7</f>
        <v>0.01798045784363538</v>
      </c>
      <c r="I7" t="s">
        <v>425</v>
      </c>
      <c r="J7">
        <f>STDEV(D5:D29,D31:D55)</f>
        <v>0.008901912488675685</v>
      </c>
    </row>
    <row r="8" spans="1:10" ht="10.5">
      <c r="A8">
        <f>'[1]MidplaneFrame'!A8</f>
        <v>4</v>
      </c>
      <c r="B8">
        <f>MidplaneFrame!B8</f>
        <v>-17.799999999999997</v>
      </c>
      <c r="C8">
        <f>MidplaneFrame!C8</f>
        <v>1.2000000000000028</v>
      </c>
      <c r="D8">
        <f>OptimalFrame!D8-CommonProfile!D8</f>
        <v>-0.013941610021959438</v>
      </c>
      <c r="E8">
        <f>MidplaneFrame!E8</f>
        <v>-17.798000000000002</v>
      </c>
      <c r="F8">
        <f>MidplaneFrame!F8</f>
        <v>-62.799</v>
      </c>
      <c r="G8">
        <f>OptimalFrame!G8-CommonProfile!G8</f>
        <v>0.01117845060303393</v>
      </c>
      <c r="I8" t="s">
        <v>426</v>
      </c>
      <c r="J8">
        <f>STDEV(G5:G29,G31:G55)</f>
        <v>0.008653307744312624</v>
      </c>
    </row>
    <row r="9" spans="1:7" ht="10.5">
      <c r="A9">
        <f>'[1]MidplaneFrame'!A9</f>
        <v>5</v>
      </c>
      <c r="B9">
        <f>MidplaneFrame!B9</f>
        <v>-3.399000000000001</v>
      </c>
      <c r="C9">
        <f>MidplaneFrame!C9</f>
        <v>1.2000000000000028</v>
      </c>
      <c r="D9">
        <f>OptimalFrame!D9-CommonProfile!D9</f>
        <v>-0.016144679602016865</v>
      </c>
      <c r="E9">
        <f>MidplaneFrame!E9</f>
        <v>-3.3980000000000032</v>
      </c>
      <c r="F9">
        <f>MidplaneFrame!F9</f>
        <v>-62.8</v>
      </c>
      <c r="G9">
        <f>OptimalFrame!G9-CommonProfile!G9</f>
        <v>0.0035764586845322245</v>
      </c>
    </row>
    <row r="10" spans="1:7" ht="10.5">
      <c r="A10">
        <f>'[1]MidplaneFrame'!A10</f>
        <v>6</v>
      </c>
      <c r="B10">
        <f>MidplaneFrame!B10</f>
        <v>-60.999</v>
      </c>
      <c r="C10">
        <f>MidplaneFrame!C10</f>
        <v>16.6</v>
      </c>
      <c r="D10">
        <f>OptimalFrame!D10-CommonProfile!D10</f>
        <v>-0.013126871485657929</v>
      </c>
      <c r="E10">
        <f>MidplaneFrame!E10</f>
        <v>-60.998</v>
      </c>
      <c r="F10">
        <f>MidplaneFrame!F10</f>
        <v>-47.4</v>
      </c>
      <c r="G10">
        <f>OptimalFrame!G10-CommonProfile!G10</f>
        <v>0.01339443475970338</v>
      </c>
    </row>
    <row r="11" spans="1:7" ht="10.5">
      <c r="A11">
        <f>'[1]MidplaneFrame'!A11</f>
        <v>7</v>
      </c>
      <c r="B11">
        <f>MidplaneFrame!B11</f>
        <v>-46.599000000000004</v>
      </c>
      <c r="C11">
        <f>MidplaneFrame!C11</f>
        <v>16.6</v>
      </c>
      <c r="D11">
        <f>OptimalFrame!D11-CommonProfile!D11</f>
        <v>-0.005928835260731846</v>
      </c>
      <c r="E11">
        <f>MidplaneFrame!E11</f>
        <v>-46.598</v>
      </c>
      <c r="F11">
        <f>MidplaneFrame!F11</f>
        <v>-47.4</v>
      </c>
      <c r="G11">
        <f>OptimalFrame!G11-CommonProfile!G11</f>
        <v>0.016792468297465966</v>
      </c>
    </row>
    <row r="12" spans="1:7" ht="10.5">
      <c r="A12">
        <f>'[1]MidplaneFrame'!A12</f>
        <v>8</v>
      </c>
      <c r="B12">
        <f>MidplaneFrame!B12</f>
        <v>-32.2</v>
      </c>
      <c r="C12">
        <f>MidplaneFrame!C12</f>
        <v>16.6</v>
      </c>
      <c r="D12">
        <f>OptimalFrame!D12-CommonProfile!D12</f>
        <v>-0.010129490177469136</v>
      </c>
      <c r="E12">
        <f>MidplaneFrame!E12</f>
        <v>-32.198</v>
      </c>
      <c r="F12">
        <f>MidplaneFrame!F12</f>
        <v>-47.4</v>
      </c>
      <c r="G12">
        <f>OptimalFrame!G12-CommonProfile!G12</f>
        <v>0.011790443522886607</v>
      </c>
    </row>
    <row r="13" spans="1:7" ht="10.5">
      <c r="A13">
        <f>'[1]MidplaneFrame'!A13</f>
        <v>9</v>
      </c>
      <c r="B13">
        <f>MidplaneFrame!B13</f>
        <v>-17.799999999999997</v>
      </c>
      <c r="C13">
        <f>MidplaneFrame!C13</f>
        <v>16.6</v>
      </c>
      <c r="D13">
        <f>OptimalFrame!D13-CommonProfile!D13</f>
        <v>0.0010682223805098313</v>
      </c>
      <c r="E13">
        <f>MidplaneFrame!E13</f>
        <v>-17.798000000000002</v>
      </c>
      <c r="F13">
        <f>MidplaneFrame!F13</f>
        <v>-47.4</v>
      </c>
      <c r="G13">
        <f>OptimalFrame!G13-CommonProfile!G13</f>
        <v>0.003988445631718784</v>
      </c>
    </row>
    <row r="14" spans="1:9" ht="10.5">
      <c r="A14">
        <f>'[1]MidplaneFrame'!A14</f>
        <v>10</v>
      </c>
      <c r="B14">
        <f>MidplaneFrame!B14</f>
        <v>-3.399000000000001</v>
      </c>
      <c r="C14">
        <f>MidplaneFrame!C14</f>
        <v>16.6</v>
      </c>
      <c r="D14">
        <f>OptimalFrame!D14-CommonProfile!D14</f>
        <v>0.0018653082167819912</v>
      </c>
      <c r="E14">
        <f>MidplaneFrame!E14</f>
        <v>-3.3980000000000032</v>
      </c>
      <c r="F14">
        <f>MidplaneFrame!F14</f>
        <v>-47.4</v>
      </c>
      <c r="G14">
        <f>OptimalFrame!G14-CommonProfile!G14</f>
        <v>-0.005413530441188507</v>
      </c>
      <c r="I14">
        <f>OptimalFrame!I14-CommonProfile!I14</f>
        <v>0</v>
      </c>
    </row>
    <row r="15" spans="1:7" ht="10.5">
      <c r="A15">
        <f>'[1]MidplaneFrame'!A15</f>
        <v>11</v>
      </c>
      <c r="B15">
        <f>MidplaneFrame!B15</f>
        <v>-61</v>
      </c>
      <c r="C15">
        <f>MidplaneFrame!C15</f>
        <v>32</v>
      </c>
      <c r="D15">
        <f>OptimalFrame!D15-CommonProfile!D15</f>
        <v>-0.009915492589833139</v>
      </c>
      <c r="E15">
        <f>MidplaneFrame!E15</f>
        <v>-60.998</v>
      </c>
      <c r="F15">
        <f>MidplaneFrame!F15</f>
        <v>-31.999</v>
      </c>
      <c r="G15">
        <f>OptimalFrame!G15-CommonProfile!G15</f>
        <v>0.006804511869348585</v>
      </c>
    </row>
    <row r="16" spans="1:7" ht="10.5">
      <c r="A16">
        <f>'[1]MidplaneFrame'!A16</f>
        <v>12</v>
      </c>
      <c r="B16">
        <f>MidplaneFrame!B16</f>
        <v>-46.599000000000004</v>
      </c>
      <c r="C16">
        <f>MidplaneFrame!C16</f>
        <v>32</v>
      </c>
      <c r="D16">
        <f>OptimalFrame!D16-CommonProfile!D16</f>
        <v>-0.005718653836928912</v>
      </c>
      <c r="E16">
        <f>MidplaneFrame!E16</f>
        <v>-46.598</v>
      </c>
      <c r="F16">
        <f>MidplaneFrame!F16</f>
        <v>-32</v>
      </c>
      <c r="G16">
        <f>OptimalFrame!G16-CommonProfile!G16</f>
        <v>0.0032024791717452754</v>
      </c>
    </row>
    <row r="17" spans="1:7" ht="10.5">
      <c r="A17">
        <f>'[1]MidplaneFrame'!A17</f>
        <v>13</v>
      </c>
      <c r="B17">
        <f>MidplaneFrame!B17</f>
        <v>-32.2</v>
      </c>
      <c r="C17">
        <f>MidplaneFrame!C17</f>
        <v>32</v>
      </c>
      <c r="D17">
        <f>OptimalFrame!D17-CommonProfile!D17</f>
        <v>-0.0021197074033737495</v>
      </c>
      <c r="E17">
        <f>MidplaneFrame!E17</f>
        <v>-32.198</v>
      </c>
      <c r="F17">
        <f>MidplaneFrame!F17</f>
        <v>-32</v>
      </c>
      <c r="G17">
        <f>OptimalFrame!G17-CommonProfile!G17</f>
        <v>0.005200479592193696</v>
      </c>
    </row>
    <row r="18" spans="1:7" ht="10.5">
      <c r="A18">
        <f>'[1]MidplaneFrame'!A18</f>
        <v>14</v>
      </c>
      <c r="B18">
        <f>MidplaneFrame!B18</f>
        <v>-17.799999999999997</v>
      </c>
      <c r="C18">
        <f>MidplaneFrame!C18</f>
        <v>32</v>
      </c>
      <c r="D18">
        <f>OptimalFrame!D18-CommonProfile!D18</f>
        <v>0.0020781646432308067</v>
      </c>
      <c r="E18">
        <f>MidplaneFrame!E18</f>
        <v>-17.798000000000002</v>
      </c>
      <c r="F18">
        <f>MidplaneFrame!F18</f>
        <v>-31.999</v>
      </c>
      <c r="G18">
        <f>OptimalFrame!G18-CommonProfile!G18</f>
        <v>0.006398513130694017</v>
      </c>
    </row>
    <row r="19" spans="1:7" ht="10.5">
      <c r="A19">
        <f>'[1]MidplaneFrame'!A19</f>
        <v>15</v>
      </c>
      <c r="B19">
        <f>MidplaneFrame!B19</f>
        <v>-3.3999999999999986</v>
      </c>
      <c r="C19">
        <f>MidplaneFrame!C19</f>
        <v>31.999</v>
      </c>
      <c r="D19">
        <f>OptimalFrame!D19-CommonProfile!D19</f>
        <v>0.0026762288905408218</v>
      </c>
      <c r="E19">
        <f>MidplaneFrame!E19</f>
        <v>-3.3980000000000032</v>
      </c>
      <c r="F19">
        <f>MidplaneFrame!F19</f>
        <v>-32</v>
      </c>
      <c r="G19">
        <f>OptimalFrame!G19-CommonProfile!G19</f>
        <v>-0.0016035855410389433</v>
      </c>
    </row>
    <row r="20" spans="1:7" ht="10.5">
      <c r="A20">
        <f>'[1]MidplaneFrame'!A20</f>
        <v>16</v>
      </c>
      <c r="B20">
        <f>MidplaneFrame!B20</f>
        <v>-61</v>
      </c>
      <c r="C20">
        <f>MidplaneFrame!C20</f>
        <v>47.4</v>
      </c>
      <c r="D20">
        <f>OptimalFrame!D20-CommonProfile!D20</f>
        <v>-0.007305690706983961</v>
      </c>
      <c r="E20">
        <f>MidplaneFrame!E20</f>
        <v>-60.998</v>
      </c>
      <c r="F20">
        <f>MidplaneFrame!F20</f>
        <v>-16.6</v>
      </c>
      <c r="G20">
        <f>OptimalFrame!G20-CommonProfile!G20</f>
        <v>0.005414481703289772</v>
      </c>
    </row>
    <row r="21" spans="1:7" ht="10.5">
      <c r="A21">
        <f>'[1]MidplaneFrame'!A21</f>
        <v>17</v>
      </c>
      <c r="B21">
        <f>MidplaneFrame!B21</f>
        <v>-46.599000000000004</v>
      </c>
      <c r="C21">
        <f>MidplaneFrame!C21</f>
        <v>47.4</v>
      </c>
      <c r="D21">
        <f>OptimalFrame!D21-CommonProfile!D21</f>
        <v>-0.003908648240524615</v>
      </c>
      <c r="E21">
        <f>MidplaneFrame!E21</f>
        <v>-46.598</v>
      </c>
      <c r="F21">
        <f>MidplaneFrame!F21</f>
        <v>-16.6</v>
      </c>
      <c r="G21">
        <f>OptimalFrame!G21-CommonProfile!G21</f>
        <v>-0.0025875099539756537</v>
      </c>
    </row>
    <row r="22" spans="1:7" ht="10.5">
      <c r="A22">
        <f>'[1]MidplaneFrame'!A22</f>
        <v>18</v>
      </c>
      <c r="B22">
        <f>MidplaneFrame!B22</f>
        <v>-32.2</v>
      </c>
      <c r="C22">
        <f>MidplaneFrame!C22</f>
        <v>47.4</v>
      </c>
      <c r="D22">
        <f>OptimalFrame!D22-CommonProfile!D22</f>
        <v>0.0024905673758514046</v>
      </c>
      <c r="E22">
        <f>MidplaneFrame!E22</f>
        <v>-32.198</v>
      </c>
      <c r="F22">
        <f>MidplaneFrame!F22</f>
        <v>-16.6</v>
      </c>
      <c r="G22">
        <f>OptimalFrame!G22-CommonProfile!G22</f>
        <v>-0.0025895095335271455</v>
      </c>
    </row>
    <row r="23" spans="1:7" ht="10.5">
      <c r="A23">
        <f>'[1]MidplaneFrame'!A23</f>
        <v>19</v>
      </c>
      <c r="B23">
        <f>MidplaneFrame!B23</f>
        <v>-17.799999999999997</v>
      </c>
      <c r="C23">
        <f>MidplaneFrame!C23</f>
        <v>47.4</v>
      </c>
      <c r="D23">
        <f>OptimalFrame!D23-CommonProfile!D23</f>
        <v>0.009488188717671053</v>
      </c>
      <c r="E23">
        <f>MidplaneFrame!E23</f>
        <v>-17.798000000000002</v>
      </c>
      <c r="F23">
        <f>MidplaneFrame!F23</f>
        <v>-16.6</v>
      </c>
      <c r="G23">
        <f>OptimalFrame!G23-CommonProfile!G23</f>
        <v>-0.0033915578144663398</v>
      </c>
    </row>
    <row r="24" spans="1:7" ht="10.5">
      <c r="A24">
        <f>'[1]MidplaneFrame'!A24</f>
        <v>20</v>
      </c>
      <c r="B24">
        <f>MidplaneFrame!B24</f>
        <v>-3.3999999999999986</v>
      </c>
      <c r="C24">
        <f>MidplaneFrame!C24</f>
        <v>47.4</v>
      </c>
      <c r="D24">
        <f>OptimalFrame!D24-CommonProfile!D24</f>
        <v>-0.0003135255898378598</v>
      </c>
      <c r="E24">
        <f>MidplaneFrame!E24</f>
        <v>-3.3980000000000032</v>
      </c>
      <c r="F24">
        <f>MidplaneFrame!F24</f>
        <v>-16.6</v>
      </c>
      <c r="G24">
        <f>OptimalFrame!G24-CommonProfile!G24</f>
        <v>-0.010193508692630337</v>
      </c>
    </row>
    <row r="25" spans="1:7" ht="10.5">
      <c r="A25">
        <f>'[1]MidplaneFrame'!A25</f>
        <v>21</v>
      </c>
      <c r="B25">
        <f>MidplaneFrame!B25</f>
        <v>-60.999</v>
      </c>
      <c r="C25">
        <f>MidplaneFrame!C25</f>
        <v>62.799</v>
      </c>
      <c r="D25">
        <f>OptimalFrame!D25-CommonProfile!D25</f>
        <v>-0.006696550453188066</v>
      </c>
      <c r="E25">
        <f>MidplaneFrame!E25</f>
        <v>-60.998</v>
      </c>
      <c r="F25">
        <f>MidplaneFrame!F25</f>
        <v>-1.2000000000000028</v>
      </c>
      <c r="G25">
        <f>OptimalFrame!G25-CommonProfile!G25</f>
        <v>-0.0037754995001448646</v>
      </c>
    </row>
    <row r="26" spans="1:7" ht="10.5">
      <c r="A26">
        <f>'[1]MidplaneFrame'!A26</f>
        <v>22</v>
      </c>
      <c r="B26">
        <f>MidplaneFrame!B26</f>
        <v>-46.6</v>
      </c>
      <c r="C26">
        <f>MidplaneFrame!C26</f>
        <v>62.8</v>
      </c>
      <c r="D26">
        <f>OptimalFrame!D26-CommonProfile!D26</f>
        <v>0.0023024840230960074</v>
      </c>
      <c r="E26">
        <f>MidplaneFrame!E26</f>
        <v>-46.598</v>
      </c>
      <c r="F26">
        <f>MidplaneFrame!F26</f>
        <v>-1.2000000000000028</v>
      </c>
      <c r="G26">
        <f>OptimalFrame!G26-CommonProfile!G26</f>
        <v>-0.0023775477813686276</v>
      </c>
    </row>
    <row r="27" spans="1:7" ht="10.5">
      <c r="A27">
        <f>'[1]MidplaneFrame'!A27</f>
        <v>23</v>
      </c>
      <c r="B27">
        <f>MidplaneFrame!B27</f>
        <v>-32.199</v>
      </c>
      <c r="C27">
        <f>MidplaneFrame!C27</f>
        <v>62.8</v>
      </c>
      <c r="D27">
        <f>OptimalFrame!D27-CommonProfile!D27</f>
        <v>0.009499363054203047</v>
      </c>
      <c r="E27">
        <f>MidplaneFrame!E27</f>
        <v>-32.198</v>
      </c>
      <c r="F27">
        <f>MidplaneFrame!F27</f>
        <v>-1.198999999999998</v>
      </c>
      <c r="G27">
        <f>OptimalFrame!G27-CommonProfile!G27</f>
        <v>-0.005379465541196038</v>
      </c>
    </row>
    <row r="28" spans="1:7" ht="10.5">
      <c r="A28">
        <f>'[1]MidplaneFrame'!A28</f>
        <v>24</v>
      </c>
      <c r="B28">
        <f>MidplaneFrame!B28</f>
        <v>-17.799</v>
      </c>
      <c r="C28">
        <f>MidplaneFrame!C28</f>
        <v>62.8</v>
      </c>
      <c r="D28">
        <f>OptimalFrame!D28-CommonProfile!D28</f>
        <v>0.015297070280322633</v>
      </c>
      <c r="E28">
        <f>MidplaneFrame!E28</f>
        <v>-17.798000000000002</v>
      </c>
      <c r="F28">
        <f>MidplaneFrame!F28</f>
        <v>-1.2000000000000028</v>
      </c>
      <c r="G28">
        <f>OptimalFrame!G28-CommonProfile!G28</f>
        <v>-0.006781498238799611</v>
      </c>
    </row>
    <row r="29" spans="1:7" ht="10.5">
      <c r="A29">
        <f>'[1]MidplaneFrame'!A29</f>
        <v>25</v>
      </c>
      <c r="B29">
        <f>MidplaneFrame!B29</f>
        <v>-3.399000000000001</v>
      </c>
      <c r="C29">
        <f>MidplaneFrame!C29</f>
        <v>62.8</v>
      </c>
      <c r="D29">
        <f>OptimalFrame!D29-CommonProfile!D29</f>
        <v>0.009095099034126242</v>
      </c>
      <c r="E29">
        <f>MidplaneFrame!E29</f>
        <v>-3.3980000000000032</v>
      </c>
      <c r="F29">
        <f>MidplaneFrame!F29</f>
        <v>-1.2000000000000028</v>
      </c>
      <c r="G29">
        <f>OptimalFrame!G29-CommonProfile!G29</f>
        <v>-0.008583497818350948</v>
      </c>
    </row>
    <row r="30" spans="1:7" ht="10.5">
      <c r="A30" t="str">
        <f>'[1]MidplaneFrame'!A30</f>
        <v>RightSensor</v>
      </c>
      <c r="B30" t="str">
        <f>'[1]MidplaneFrame'!B30</f>
        <v>x</v>
      </c>
      <c r="C30" t="str">
        <f>'[1]MidplaneFrame'!C30</f>
        <v>y</v>
      </c>
      <c r="D30" t="str">
        <f>'[1]MidplaneFrame'!D30</f>
        <v>z</v>
      </c>
      <c r="E30" t="str">
        <f>'[1]MidplaneFrame'!E30</f>
        <v>x</v>
      </c>
      <c r="F30" t="str">
        <f>'[1]MidplaneFrame'!F30</f>
        <v>y</v>
      </c>
      <c r="G30" t="str">
        <f>'[1]MidplaneFrame'!G30</f>
        <v>z</v>
      </c>
    </row>
    <row r="31" spans="1:7" ht="10.5">
      <c r="A31">
        <f>'[1]MidplaneFrame'!A31</f>
        <v>1</v>
      </c>
      <c r="B31">
        <f>MidplaneFrame!B31</f>
        <v>2.0859999999999985</v>
      </c>
      <c r="C31">
        <f>MidplaneFrame!C31</f>
        <v>1.2000000000000028</v>
      </c>
      <c r="D31">
        <f>OptimalFrame!D31-CommonProfile!D31</f>
        <v>-0.011612838920523606</v>
      </c>
      <c r="E31">
        <f>MidplaneFrame!E31</f>
        <v>2.117999999999995</v>
      </c>
      <c r="F31">
        <f>MidplaneFrame!F31</f>
        <v>-62.799</v>
      </c>
      <c r="G31">
        <f>OptimalFrame!G31-CommonProfile!G31</f>
        <v>-0.0035452534129432724</v>
      </c>
    </row>
    <row r="32" spans="1:7" ht="10.5">
      <c r="A32">
        <f>'[1]MidplaneFrame'!A32</f>
        <v>2</v>
      </c>
      <c r="B32">
        <f>MidplaneFrame!B32</f>
        <v>16.9825</v>
      </c>
      <c r="C32">
        <f>MidplaneFrame!C32</f>
        <v>1.2000000000000028</v>
      </c>
      <c r="D32">
        <f>OptimalFrame!D32-CommonProfile!D32</f>
        <v>-0.007387211408473916</v>
      </c>
      <c r="E32">
        <f>MidplaneFrame!E32</f>
        <v>17.004999999999995</v>
      </c>
      <c r="F32">
        <f>MidplaneFrame!F32</f>
        <v>-62.798500000000004</v>
      </c>
      <c r="G32">
        <f>OptimalFrame!G32-CommonProfile!G32</f>
        <v>0.002078132916247166</v>
      </c>
    </row>
    <row r="33" spans="1:7" ht="10.5">
      <c r="A33">
        <f>'[1]MidplaneFrame'!A33</f>
        <v>3</v>
      </c>
      <c r="B33">
        <f>MidplaneFrame!B33</f>
        <v>31.879000000000005</v>
      </c>
      <c r="C33">
        <f>MidplaneFrame!C33</f>
        <v>1.2000000000000028</v>
      </c>
      <c r="D33">
        <f>OptimalFrame!D33-CommonProfile!D33</f>
        <v>-0.0031615838964242247</v>
      </c>
      <c r="E33">
        <f>MidplaneFrame!E33</f>
        <v>31.891999999999996</v>
      </c>
      <c r="F33">
        <f>MidplaneFrame!F33</f>
        <v>-62.798</v>
      </c>
      <c r="G33">
        <f>OptimalFrame!G33-CommonProfile!G33</f>
        <v>0.007701519245437582</v>
      </c>
    </row>
    <row r="34" spans="1:7" ht="10.5">
      <c r="A34">
        <f>'[1]MidplaneFrame'!A34</f>
        <v>4</v>
      </c>
      <c r="B34">
        <f>MidplaneFrame!B34</f>
        <v>46.278999999999996</v>
      </c>
      <c r="C34">
        <f>MidplaneFrame!C34</f>
        <v>1.2000000000000028</v>
      </c>
      <c r="D34">
        <f>OptimalFrame!D34-CommonProfile!D34</f>
        <v>-0.0066439018340985305</v>
      </c>
      <c r="E34">
        <f>MidplaneFrame!E34</f>
        <v>46.292</v>
      </c>
      <c r="F34">
        <f>MidplaneFrame!F34</f>
        <v>-62.798</v>
      </c>
      <c r="G34">
        <f>OptimalFrame!G34-CommonProfile!G34</f>
        <v>0.012619635776631366</v>
      </c>
    </row>
    <row r="35" spans="1:7" ht="10.5">
      <c r="A35">
        <f>'[1]MidplaneFrame'!A35</f>
        <v>5</v>
      </c>
      <c r="B35">
        <f>MidplaneFrame!B35</f>
        <v>60.679</v>
      </c>
      <c r="C35">
        <f>MidplaneFrame!C35</f>
        <v>1.2000000000000028</v>
      </c>
      <c r="D35">
        <f>OptimalFrame!D35-CommonProfile!D35</f>
        <v>-0.019725996030689752</v>
      </c>
      <c r="E35">
        <f>MidplaneFrame!E35</f>
        <v>60.69199999999999</v>
      </c>
      <c r="F35">
        <f>MidplaneFrame!F35</f>
        <v>-62.798</v>
      </c>
      <c r="G35">
        <f>OptimalFrame!G35-CommonProfile!G35</f>
        <v>0.015737470370933614</v>
      </c>
    </row>
    <row r="36" spans="1:7" ht="10.5">
      <c r="A36">
        <f>'[1]MidplaneFrame'!A36</f>
        <v>6</v>
      </c>
      <c r="B36">
        <f>MidplaneFrame!B36</f>
        <v>2.0859999999999985</v>
      </c>
      <c r="C36">
        <f>MidplaneFrame!C36</f>
        <v>16.6</v>
      </c>
      <c r="D36">
        <f>OptimalFrame!D36-CommonProfile!D36</f>
        <v>-0.00016583325209618138</v>
      </c>
      <c r="E36">
        <f>MidplaneFrame!E36</f>
        <v>2.117999999999995</v>
      </c>
      <c r="F36">
        <f>MidplaneFrame!F36</f>
        <v>-47.399</v>
      </c>
      <c r="G36">
        <f>OptimalFrame!G36-CommonProfile!G36</f>
        <v>0.00370175225548397</v>
      </c>
    </row>
    <row r="37" spans="1:7" ht="10.5">
      <c r="A37">
        <f>'[1]MidplaneFrame'!A37</f>
        <v>7</v>
      </c>
      <c r="B37">
        <f>MidplaneFrame!B37</f>
        <v>16.9825</v>
      </c>
      <c r="C37">
        <f>MidplaneFrame!C37</f>
        <v>16.5995</v>
      </c>
      <c r="D37">
        <f>OptimalFrame!D37-CommonProfile!D37</f>
        <v>-0.0006403986593778387</v>
      </c>
      <c r="E37">
        <f>MidplaneFrame!E37</f>
        <v>17.004999999999995</v>
      </c>
      <c r="F37">
        <f>MidplaneFrame!F37</f>
        <v>-47.3985</v>
      </c>
      <c r="G37">
        <f>OptimalFrame!G37-CommonProfile!G37</f>
        <v>0.0038251037050048616</v>
      </c>
    </row>
    <row r="38" spans="1:7" ht="10.5">
      <c r="A38">
        <f>'[1]MidplaneFrame'!A38</f>
        <v>8</v>
      </c>
      <c r="B38">
        <f>MidplaneFrame!B38</f>
        <v>31.879000000000005</v>
      </c>
      <c r="C38">
        <f>MidplaneFrame!C38</f>
        <v>16.598999999999997</v>
      </c>
      <c r="D38">
        <f>OptimalFrame!D38-CommonProfile!D38</f>
        <v>-0.0011149640666594297</v>
      </c>
      <c r="E38">
        <f>MidplaneFrame!E38</f>
        <v>31.891999999999996</v>
      </c>
      <c r="F38">
        <f>MidplaneFrame!F38</f>
        <v>-47.397999999999996</v>
      </c>
      <c r="G38">
        <f>OptimalFrame!G38-CommonProfile!G38</f>
        <v>0.003948455154525798</v>
      </c>
    </row>
    <row r="39" spans="1:7" ht="10.5">
      <c r="A39">
        <f>'[1]MidplaneFrame'!A39</f>
        <v>9</v>
      </c>
      <c r="B39">
        <f>MidplaneFrame!B39</f>
        <v>46.278999999999996</v>
      </c>
      <c r="C39">
        <f>MidplaneFrame!C39</f>
        <v>16.6</v>
      </c>
      <c r="D39">
        <f>OptimalFrame!D39-CommonProfile!D39</f>
        <v>0.0022029841460724283</v>
      </c>
      <c r="E39">
        <f>MidplaneFrame!E39</f>
        <v>46.292</v>
      </c>
      <c r="F39">
        <f>MidplaneFrame!F39</f>
        <v>-47.397999999999996</v>
      </c>
      <c r="G39">
        <f>OptimalFrame!G39-CommonProfile!G39</f>
        <v>0.0022665004766128996</v>
      </c>
    </row>
    <row r="40" spans="1:7" ht="10.5">
      <c r="A40">
        <f>'[1]MidplaneFrame'!A40</f>
        <v>10</v>
      </c>
      <c r="B40">
        <f>MidplaneFrame!B40</f>
        <v>60.679</v>
      </c>
      <c r="C40">
        <f>MidplaneFrame!C40</f>
        <v>16.6</v>
      </c>
      <c r="D40">
        <f>OptimalFrame!D40-CommonProfile!D40</f>
        <v>-0.0046788909272717505</v>
      </c>
      <c r="E40">
        <f>MidplaneFrame!E40</f>
        <v>60.69199999999999</v>
      </c>
      <c r="F40">
        <f>MidplaneFrame!F40</f>
        <v>-47.397999999999996</v>
      </c>
      <c r="G40">
        <f>OptimalFrame!G40-CommonProfile!G40</f>
        <v>0.0015844760393609256</v>
      </c>
    </row>
    <row r="41" spans="1:7" ht="10.5">
      <c r="A41">
        <f>'[1]MidplaneFrame'!A41</f>
        <v>11</v>
      </c>
      <c r="B41">
        <f>MidplaneFrame!B41</f>
        <v>2.0859999999999985</v>
      </c>
      <c r="C41">
        <f>MidplaneFrame!C41</f>
        <v>32</v>
      </c>
      <c r="D41">
        <f>OptimalFrame!D41-CommonProfile!D41</f>
        <v>0.0018811724163311228</v>
      </c>
      <c r="E41">
        <f>MidplaneFrame!E41</f>
        <v>2.117999999999995</v>
      </c>
      <c r="F41">
        <f>MidplaneFrame!F41</f>
        <v>-31.999</v>
      </c>
      <c r="G41">
        <f>OptimalFrame!G41-CommonProfile!G41</f>
        <v>0.001348757923911292</v>
      </c>
    </row>
    <row r="42" spans="1:7" ht="10.5">
      <c r="A42">
        <f>'[1]MidplaneFrame'!A42</f>
        <v>12</v>
      </c>
      <c r="B42">
        <f>MidplaneFrame!B42</f>
        <v>16.9825</v>
      </c>
      <c r="C42">
        <f>MidplaneFrame!C42</f>
        <v>32</v>
      </c>
      <c r="D42">
        <f>OptimalFrame!D42-CommonProfile!D42</f>
        <v>0.0031067043469377386</v>
      </c>
      <c r="E42">
        <f>MidplaneFrame!E42</f>
        <v>17.004999999999995</v>
      </c>
      <c r="F42">
        <f>MidplaneFrame!F42</f>
        <v>-31.9985</v>
      </c>
      <c r="G42">
        <f>OptimalFrame!G42-CommonProfile!G42</f>
        <v>0.0013721200752265569</v>
      </c>
    </row>
    <row r="43" spans="1:7" ht="10.5">
      <c r="A43">
        <f>'[1]MidplaneFrame'!A43</f>
        <v>13</v>
      </c>
      <c r="B43">
        <f>MidplaneFrame!B43</f>
        <v>31.879000000000005</v>
      </c>
      <c r="C43">
        <f>MidplaneFrame!C43</f>
        <v>32</v>
      </c>
      <c r="D43">
        <f>OptimalFrame!D43-CommonProfile!D43</f>
        <v>0.004332236277544444</v>
      </c>
      <c r="E43">
        <f>MidplaneFrame!E43</f>
        <v>31.891999999999996</v>
      </c>
      <c r="F43">
        <f>MidplaneFrame!F43</f>
        <v>-31.998</v>
      </c>
      <c r="G43">
        <f>OptimalFrame!G43-CommonProfile!G43</f>
        <v>0.001395482226541911</v>
      </c>
    </row>
    <row r="44" spans="1:7" ht="10.5">
      <c r="A44">
        <f>'[1]MidplaneFrame'!A44</f>
        <v>14</v>
      </c>
      <c r="B44">
        <f>MidplaneFrame!B44</f>
        <v>46.278999999999996</v>
      </c>
      <c r="C44">
        <f>MidplaneFrame!C44</f>
        <v>32</v>
      </c>
      <c r="D44">
        <f>OptimalFrame!D44-CommonProfile!D44</f>
        <v>0.0004501095027561021</v>
      </c>
      <c r="E44">
        <f>MidplaneFrame!E44</f>
        <v>46.292</v>
      </c>
      <c r="F44">
        <f>MidplaneFrame!F44</f>
        <v>-31.998</v>
      </c>
      <c r="G44">
        <f>OptimalFrame!G44-CommonProfile!G44</f>
        <v>-0.0008864938549596243</v>
      </c>
    </row>
    <row r="45" spans="1:7" ht="10.5">
      <c r="A45">
        <f>'[1]MidplaneFrame'!A45</f>
        <v>15</v>
      </c>
      <c r="B45">
        <f>MidplaneFrame!B45</f>
        <v>60.679</v>
      </c>
      <c r="C45">
        <f>MidplaneFrame!C45</f>
        <v>32</v>
      </c>
      <c r="D45">
        <f>OptimalFrame!D45-CommonProfile!D45</f>
        <v>-0.0010318852588443</v>
      </c>
      <c r="E45">
        <f>MidplaneFrame!E45</f>
        <v>60.69199999999999</v>
      </c>
      <c r="F45">
        <f>MidplaneFrame!F45</f>
        <v>-31.998</v>
      </c>
      <c r="G45">
        <f>OptimalFrame!G45-CommonProfile!G45</f>
        <v>-0.003168588051550781</v>
      </c>
    </row>
    <row r="46" spans="1:7" ht="10.5">
      <c r="A46">
        <f>'[1]MidplaneFrame'!A46</f>
        <v>16</v>
      </c>
      <c r="B46">
        <f>MidplaneFrame!B46</f>
        <v>2.0859999999999985</v>
      </c>
      <c r="C46">
        <f>MidplaneFrame!C46</f>
        <v>47.4</v>
      </c>
      <c r="D46">
        <f>OptimalFrame!D46-CommonProfile!D46</f>
        <v>0.0053281780847584505</v>
      </c>
      <c r="E46">
        <f>MidplaneFrame!E46</f>
        <v>2.117999999999995</v>
      </c>
      <c r="F46">
        <f>MidplaneFrame!F46</f>
        <v>-16.598999999999997</v>
      </c>
      <c r="G46">
        <f>OptimalFrame!G46-CommonProfile!G46</f>
        <v>-0.0036042364076612986</v>
      </c>
    </row>
    <row r="47" spans="1:7" ht="10.5">
      <c r="A47">
        <f>'[1]MidplaneFrame'!A47</f>
        <v>17</v>
      </c>
      <c r="B47">
        <f>MidplaneFrame!B47</f>
        <v>16.9825</v>
      </c>
      <c r="C47">
        <f>MidplaneFrame!C47</f>
        <v>47.4</v>
      </c>
      <c r="D47">
        <f>OptimalFrame!D47-CommonProfile!D47</f>
        <v>0.005953658846596999</v>
      </c>
      <c r="E47">
        <f>MidplaneFrame!E47</f>
        <v>17.004999999999995</v>
      </c>
      <c r="F47">
        <f>MidplaneFrame!F47</f>
        <v>-16.598499999999998</v>
      </c>
      <c r="G47">
        <f>OptimalFrame!G47-CommonProfile!G47</f>
        <v>-0.004680927520006128</v>
      </c>
    </row>
    <row r="48" spans="1:7" ht="10.5">
      <c r="A48">
        <f>'[1]MidplaneFrame'!A48</f>
        <v>18</v>
      </c>
      <c r="B48">
        <f>MidplaneFrame!B48</f>
        <v>31.879000000000005</v>
      </c>
      <c r="C48">
        <f>MidplaneFrame!C48</f>
        <v>47.4</v>
      </c>
      <c r="D48">
        <f>OptimalFrame!D48-CommonProfile!D48</f>
        <v>0.00657913960843548</v>
      </c>
      <c r="E48">
        <f>MidplaneFrame!E48</f>
        <v>31.891999999999996</v>
      </c>
      <c r="F48">
        <f>MidplaneFrame!F48</f>
        <v>-16.598</v>
      </c>
      <c r="G48">
        <f>OptimalFrame!G48-CommonProfile!G48</f>
        <v>-0.0057576186323508695</v>
      </c>
    </row>
    <row r="49" spans="1:7" ht="10.5">
      <c r="A49">
        <f>'[1]MidplaneFrame'!A49</f>
        <v>19</v>
      </c>
      <c r="B49">
        <f>MidplaneFrame!B49</f>
        <v>46.278999999999996</v>
      </c>
      <c r="C49">
        <f>MidplaneFrame!C49</f>
        <v>47.4</v>
      </c>
      <c r="D49">
        <f>OptimalFrame!D49-CommonProfile!D49</f>
        <v>0.004497291334443365</v>
      </c>
      <c r="E49">
        <f>MidplaneFrame!E49</f>
        <v>46.292</v>
      </c>
      <c r="F49">
        <f>MidplaneFrame!F49</f>
        <v>-16.598</v>
      </c>
      <c r="G49">
        <f>OptimalFrame!G49-CommonProfile!G49</f>
        <v>-0.005639488186532237</v>
      </c>
    </row>
    <row r="50" spans="1:7" ht="10.5">
      <c r="A50">
        <f>'[1]MidplaneFrame'!A50</f>
        <v>20</v>
      </c>
      <c r="B50">
        <f>MidplaneFrame!B50</f>
        <v>60.678</v>
      </c>
      <c r="C50">
        <f>MidplaneFrame!C50</f>
        <v>47.4</v>
      </c>
      <c r="D50">
        <f>OptimalFrame!D50-CommonProfile!D50</f>
        <v>0.0012150038864712429</v>
      </c>
      <c r="E50">
        <f>MidplaneFrame!E50</f>
        <v>60.69199999999999</v>
      </c>
      <c r="F50">
        <f>MidplaneFrame!F50</f>
        <v>-16.598</v>
      </c>
      <c r="G50">
        <f>OptimalFrame!G50-CommonProfile!G50</f>
        <v>0.0014784873762156772</v>
      </c>
    </row>
    <row r="51" spans="1:7" ht="10.5">
      <c r="A51">
        <f>'[1]MidplaneFrame'!A51</f>
        <v>21</v>
      </c>
      <c r="B51">
        <f>MidplaneFrame!B51</f>
        <v>2.0859999999999985</v>
      </c>
      <c r="C51">
        <f>MidplaneFrame!C51</f>
        <v>62.8</v>
      </c>
      <c r="D51">
        <f>OptimalFrame!D51-CommonProfile!D51</f>
        <v>0.0065751837531857985</v>
      </c>
      <c r="E51">
        <f>MidplaneFrame!E51</f>
        <v>2.117999999999995</v>
      </c>
      <c r="F51">
        <f>MidplaneFrame!F51</f>
        <v>-1.198999999999998</v>
      </c>
      <c r="G51">
        <f>OptimalFrame!G51-CommonProfile!G51</f>
        <v>-0.010957230739233959</v>
      </c>
    </row>
    <row r="52" spans="1:7" ht="10.5">
      <c r="A52">
        <f>'[1]MidplaneFrame'!A52</f>
        <v>22</v>
      </c>
      <c r="B52">
        <f>MidplaneFrame!B52</f>
        <v>16.9825</v>
      </c>
      <c r="C52">
        <f>MidplaneFrame!C52</f>
        <v>62.7995</v>
      </c>
      <c r="D52">
        <f>OptimalFrame!D52-CommonProfile!D52</f>
        <v>0.009400593248683942</v>
      </c>
      <c r="E52">
        <f>MidplaneFrame!E52</f>
        <v>17.004999999999995</v>
      </c>
      <c r="F52">
        <f>MidplaneFrame!F52</f>
        <v>-1.1984999999999992</v>
      </c>
      <c r="G52">
        <f>OptimalFrame!G52-CommonProfile!G52</f>
        <v>-0.010833844410043291</v>
      </c>
    </row>
    <row r="53" spans="1:7" ht="10.5">
      <c r="A53">
        <f>'[1]MidplaneFrame'!A53</f>
        <v>23</v>
      </c>
      <c r="B53">
        <f>MidplaneFrame!B53</f>
        <v>31.879000000000005</v>
      </c>
      <c r="C53">
        <f>MidplaneFrame!C53</f>
        <v>62.799</v>
      </c>
      <c r="D53">
        <f>OptimalFrame!D53-CommonProfile!D53</f>
        <v>0.012226002744182264</v>
      </c>
      <c r="E53">
        <f>MidplaneFrame!E53</f>
        <v>31.891999999999996</v>
      </c>
      <c r="F53">
        <f>MidplaneFrame!F53</f>
        <v>-1.1980000000000004</v>
      </c>
      <c r="G53">
        <f>OptimalFrame!G53-CommonProfile!G53</f>
        <v>-0.010710458080852825</v>
      </c>
    </row>
    <row r="54" spans="1:7" ht="10.5">
      <c r="A54">
        <f>'[1]MidplaneFrame'!A54</f>
        <v>24</v>
      </c>
      <c r="B54">
        <f>MidplaneFrame!B54</f>
        <v>46.278000000000006</v>
      </c>
      <c r="C54">
        <f>MidplaneFrame!C54</f>
        <v>62.8</v>
      </c>
      <c r="D54">
        <f>OptimalFrame!D54-CommonProfile!D54</f>
        <v>0.008944066018896125</v>
      </c>
      <c r="E54">
        <f>MidplaneFrame!E54</f>
        <v>46.292</v>
      </c>
      <c r="F54">
        <f>MidplaneFrame!F54</f>
        <v>-1.1980000000000004</v>
      </c>
      <c r="G54">
        <f>OptimalFrame!G54-CommonProfile!G54</f>
        <v>-0.010392482518105072</v>
      </c>
    </row>
    <row r="55" spans="1:7" ht="10.5">
      <c r="A55">
        <f>'[1]MidplaneFrame'!A55</f>
        <v>25</v>
      </c>
      <c r="B55">
        <f>MidplaneFrame!B55</f>
        <v>60.679</v>
      </c>
      <c r="C55">
        <f>MidplaneFrame!C55</f>
        <v>62.8</v>
      </c>
      <c r="D55">
        <f>OptimalFrame!D55-CommonProfile!D55</f>
        <v>-0.004737868402827063</v>
      </c>
      <c r="E55">
        <f>MidplaneFrame!E55</f>
        <v>60.691</v>
      </c>
      <c r="F55">
        <f>MidplaneFrame!F55</f>
        <v>-1.1980000000000004</v>
      </c>
      <c r="G55">
        <f>OptimalFrame!G55-CommonProfile!G55</f>
        <v>-0.0006745914517231506</v>
      </c>
    </row>
    <row r="58" spans="3:4" ht="10.5">
      <c r="C58" t="s">
        <v>513</v>
      </c>
      <c r="D58" t="s">
        <v>513</v>
      </c>
    </row>
    <row r="59" spans="3:4" ht="10.5">
      <c r="C59" t="s">
        <v>513</v>
      </c>
      <c r="D59" t="s">
        <v>513</v>
      </c>
    </row>
    <row r="60" spans="3:4" ht="10.5">
      <c r="C60" t="s">
        <v>513</v>
      </c>
      <c r="D60" t="s">
        <v>513</v>
      </c>
    </row>
  </sheetData>
  <printOptions/>
  <pageMargins left="0.75" right="0.75" top="1" bottom="1" header="0.512" footer="0.512"/>
  <pageSetup fitToHeight="1" fitToWidth="1" orientation="portrait" paperSize="9" scale="77" r:id="rId1"/>
  <headerFooter alignWithMargins="0">
    <oddHeader>&amp;C&amp;F</oddHeader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B37">
      <selection activeCell="B4" sqref="B4"/>
    </sheetView>
  </sheetViews>
  <sheetFormatPr defaultColWidth="9.140625" defaultRowHeight="12"/>
  <cols>
    <col min="1" max="3" width="12.00390625" style="0" customWidth="1"/>
    <col min="4" max="4" width="13.00390625" style="0" customWidth="1"/>
    <col min="5" max="16384" width="12.00390625" style="0" customWidth="1"/>
  </cols>
  <sheetData>
    <row r="1" ht="10.5">
      <c r="A1" t="s">
        <v>94</v>
      </c>
    </row>
    <row r="2" spans="1:8" ht="10.5">
      <c r="A2" t="s">
        <v>310</v>
      </c>
      <c r="H2" t="s">
        <v>311</v>
      </c>
    </row>
    <row r="3" spans="1:13" ht="10.5">
      <c r="A3" t="s">
        <v>387</v>
      </c>
      <c r="B3" s="25">
        <f>AVERAGE(CommonDeviations!C5:C9,CommonDeviations!C31:C35)</f>
        <v>1.2000000000000028</v>
      </c>
      <c r="C3" s="25">
        <f>AVERAGE(CommonDeviations!C10:C14,CommonDeviations!C36:C40)</f>
        <v>16.599849999999996</v>
      </c>
      <c r="D3" s="25">
        <f>AVERAGE(CommonDeviations!C15:C19,CommonDeviations!C41:C45)</f>
        <v>31.999900000000004</v>
      </c>
      <c r="E3" s="25">
        <f>AVERAGE(CommonDeviations!C20:C24,CommonDeviations!C46:C50)</f>
        <v>47.39999999999999</v>
      </c>
      <c r="F3" s="25">
        <f>AVERAGE(CommonDeviations!C25:C29,CommonDeviations!C51:C55)</f>
        <v>62.799749999999996</v>
      </c>
      <c r="H3" t="str">
        <f aca="true" t="shared" si="0" ref="H3:M3">A3</f>
        <v>x\y</v>
      </c>
      <c r="I3" s="25">
        <f t="shared" si="0"/>
        <v>1.2000000000000028</v>
      </c>
      <c r="J3" s="25">
        <f t="shared" si="0"/>
        <v>16.599849999999996</v>
      </c>
      <c r="K3" s="25">
        <f t="shared" si="0"/>
        <v>31.999900000000004</v>
      </c>
      <c r="L3" s="25">
        <f t="shared" si="0"/>
        <v>47.39999999999999</v>
      </c>
      <c r="M3" s="25">
        <f t="shared" si="0"/>
        <v>62.799749999999996</v>
      </c>
    </row>
    <row r="4" spans="1:13" ht="10.5">
      <c r="A4" s="25">
        <f>AVERAGE(CommonDeviations!B5,CommonDeviations!B10,CommonDeviations!B15,CommonDeviations!B20,CommonDeviations!B25)</f>
        <v>-60.9994</v>
      </c>
      <c r="B4" s="14">
        <f ca="1">INDIRECT(ADDRESS(5+(ROW()-4)+(COLUMN()-2)*5,4,3,TRUE,"CommonDeviations"))</f>
        <v>-0.02493681369864429</v>
      </c>
      <c r="C4" s="14">
        <f ca="1" t="shared" si="1" ref="C4:F8">INDIRECT(ADDRESS(5+(ROW()-4)+(COLUMN()-2)*5,4,3,TRUE,"CommonDeviations"))</f>
        <v>-0.013126871485657929</v>
      </c>
      <c r="D4" s="14">
        <f ca="1" t="shared" si="1"/>
        <v>-0.009915492589833139</v>
      </c>
      <c r="E4" s="14">
        <f ca="1" t="shared" si="1"/>
        <v>-0.007305690706983961</v>
      </c>
      <c r="F4" s="14">
        <f ca="1" t="shared" si="1"/>
        <v>-0.006696550453188066</v>
      </c>
      <c r="H4" s="25">
        <f aca="true" t="shared" si="2" ref="H4:H13">A4</f>
        <v>-60.9994</v>
      </c>
      <c r="I4" s="14">
        <f ca="1">INDIRECT(ADDRESS(5+(ROW()-4)+(COLUMN()-9)*5,7,3,TRUE,"CommonDeviations"))</f>
        <v>0.026384458691859722</v>
      </c>
      <c r="J4" s="14">
        <f ca="1" t="shared" si="3" ref="J4:M8">INDIRECT(ADDRESS(5+(ROW()-4)+(COLUMN()-9)*5,7,3,TRUE,"CommonDeviations"))</f>
        <v>0.01339443475970338</v>
      </c>
      <c r="K4" s="14">
        <f ca="1" t="shared" si="3"/>
        <v>0.006804511869348585</v>
      </c>
      <c r="L4" s="14">
        <f ca="1" t="shared" si="3"/>
        <v>0.005414481703289772</v>
      </c>
      <c r="M4" s="14">
        <f ca="1" t="shared" si="3"/>
        <v>-0.0037754995001448646</v>
      </c>
    </row>
    <row r="5" spans="1:13" ht="10.5">
      <c r="A5" s="25">
        <f>AVERAGE(CommonDeviations!B6,CommonDeviations!B11,CommonDeviations!B16,CommonDeviations!B21,CommonDeviations!B26)</f>
        <v>-46.599399999999996</v>
      </c>
      <c r="B5" s="14">
        <f ca="1">INDIRECT(ADDRESS(5+(ROW()-4)+(COLUMN()-2)*5,4,3,TRUE,"CommonDeviations"))</f>
        <v>-0.020337582529501085</v>
      </c>
      <c r="C5" s="14">
        <f ca="1" t="shared" si="1"/>
        <v>-0.005928835260731846</v>
      </c>
      <c r="D5" s="14">
        <f ca="1" t="shared" si="1"/>
        <v>-0.005718653836928912</v>
      </c>
      <c r="E5" s="14">
        <f ca="1" t="shared" si="1"/>
        <v>-0.003908648240524615</v>
      </c>
      <c r="F5" s="14">
        <f ca="1" t="shared" si="1"/>
        <v>0.0023024840230960074</v>
      </c>
      <c r="H5" s="25">
        <f t="shared" si="2"/>
        <v>-46.599399999999996</v>
      </c>
      <c r="I5" s="14">
        <f ca="1">INDIRECT(ADDRESS(5+(ROW()-4)+(COLUMN()-9)*5,7,3,TRUE,"CommonDeviations"))</f>
        <v>0.021382449500900645</v>
      </c>
      <c r="J5" s="14">
        <f ca="1" t="shared" si="3"/>
        <v>0.016792468297465966</v>
      </c>
      <c r="K5" s="14">
        <f ca="1" t="shared" si="3"/>
        <v>0.0032024791717452754</v>
      </c>
      <c r="L5" s="14">
        <f ca="1" t="shared" si="3"/>
        <v>-0.0025875099539756537</v>
      </c>
      <c r="M5" s="14">
        <f ca="1" t="shared" si="3"/>
        <v>-0.0023775477813686276</v>
      </c>
    </row>
    <row r="6" spans="1:13" ht="10.5">
      <c r="A6" s="25">
        <f>AVERAGE(CommonDeviations!B7,CommonDeviations!B12,CommonDeviations!B17,CommonDeviations!B22,CommonDeviations!B27)</f>
        <v>-32.1998</v>
      </c>
      <c r="B6" s="14">
        <f ca="1">INDIRECT(ADDRESS(5+(ROW()-4)+(COLUMN()-2)*5,4,3,TRUE,"CommonDeviations"))</f>
        <v>-0.016139816746674397</v>
      </c>
      <c r="C6" s="14">
        <f ca="1" t="shared" si="1"/>
        <v>-0.010129490177469136</v>
      </c>
      <c r="D6" s="14">
        <f ca="1" t="shared" si="1"/>
        <v>-0.0021197074033737495</v>
      </c>
      <c r="E6" s="14">
        <f ca="1" t="shared" si="1"/>
        <v>0.0024905673758514046</v>
      </c>
      <c r="F6" s="14">
        <f ca="1" t="shared" si="1"/>
        <v>0.009499363054203047</v>
      </c>
      <c r="H6" s="25">
        <f t="shared" si="2"/>
        <v>-32.1998</v>
      </c>
      <c r="I6" s="14">
        <f ca="1">INDIRECT(ADDRESS(5+(ROW()-4)+(COLUMN()-9)*5,7,3,TRUE,"CommonDeviations"))</f>
        <v>0.01798045784363538</v>
      </c>
      <c r="J6" s="14">
        <f ca="1" t="shared" si="3"/>
        <v>0.011790443522886607</v>
      </c>
      <c r="K6" s="14">
        <f ca="1" t="shared" si="3"/>
        <v>0.005200479592193696</v>
      </c>
      <c r="L6" s="14">
        <f ca="1" t="shared" si="3"/>
        <v>-0.0025895095335271455</v>
      </c>
      <c r="M6" s="14">
        <f ca="1" t="shared" si="3"/>
        <v>-0.005379465541196038</v>
      </c>
    </row>
    <row r="7" spans="1:13" ht="10.5">
      <c r="A7" s="25">
        <f>AVERAGE(CommonDeviations!B8,CommonDeviations!B13,CommonDeviations!B18,CommonDeviations!B23,CommonDeviations!B28)</f>
        <v>-17.799799999999998</v>
      </c>
      <c r="B7" s="14">
        <f ca="1">INDIRECT(ADDRESS(5+(ROW()-4)+(COLUMN()-2)*5,4,3,TRUE,"CommonDeviations"))</f>
        <v>-0.013941610021959438</v>
      </c>
      <c r="C7" s="14">
        <f ca="1" t="shared" si="1"/>
        <v>0.0010682223805098313</v>
      </c>
      <c r="D7" s="14">
        <f ca="1" t="shared" si="1"/>
        <v>0.0020781646432308067</v>
      </c>
      <c r="E7" s="14">
        <f ca="1" t="shared" si="1"/>
        <v>0.009488188717671053</v>
      </c>
      <c r="F7" s="14">
        <f ca="1" t="shared" si="1"/>
        <v>0.015297070280322633</v>
      </c>
      <c r="H7" s="25">
        <f t="shared" si="2"/>
        <v>-17.799799999999998</v>
      </c>
      <c r="I7" s="14">
        <f ca="1">INDIRECT(ADDRESS(5+(ROW()-4)+(COLUMN()-9)*5,7,3,TRUE,"CommonDeviations"))</f>
        <v>0.01117845060303393</v>
      </c>
      <c r="J7" s="14">
        <f ca="1" t="shared" si="3"/>
        <v>0.003988445631718784</v>
      </c>
      <c r="K7" s="14">
        <f ca="1" t="shared" si="3"/>
        <v>0.006398513130694017</v>
      </c>
      <c r="L7" s="14">
        <f ca="1" t="shared" si="3"/>
        <v>-0.0033915578144663398</v>
      </c>
      <c r="M7" s="14">
        <f ca="1" t="shared" si="3"/>
        <v>-0.006781498238799611</v>
      </c>
    </row>
    <row r="8" spans="1:13" ht="10.5">
      <c r="A8" s="25">
        <f>AVERAGE(CommonDeviations!B9,CommonDeviations!B14,CommonDeviations!B19,CommonDeviations!B24,CommonDeviations!B29)</f>
        <v>-3.3994</v>
      </c>
      <c r="B8" s="14">
        <f ca="1">INDIRECT(ADDRESS(5+(ROW()-4)+(COLUMN()-2)*5,4,3,TRUE,"CommonDeviations"))</f>
        <v>-0.016144679602016865</v>
      </c>
      <c r="C8" s="14">
        <f ca="1" t="shared" si="1"/>
        <v>0.0018653082167819912</v>
      </c>
      <c r="D8" s="14">
        <f ca="1" t="shared" si="1"/>
        <v>0.0026762288905408218</v>
      </c>
      <c r="E8" s="14">
        <f ca="1" t="shared" si="1"/>
        <v>-0.0003135255898378598</v>
      </c>
      <c r="F8" s="14">
        <f ca="1" t="shared" si="1"/>
        <v>0.009095099034126242</v>
      </c>
      <c r="H8" s="25">
        <f t="shared" si="2"/>
        <v>-3.3994</v>
      </c>
      <c r="I8" s="14">
        <f ca="1">INDIRECT(ADDRESS(5+(ROW()-4)+(COLUMN()-9)*5,7,3,TRUE,"CommonDeviations"))</f>
        <v>0.0035764586845322245</v>
      </c>
      <c r="J8" s="14">
        <f ca="1" t="shared" si="3"/>
        <v>-0.005413530441188507</v>
      </c>
      <c r="K8" s="14">
        <f ca="1" t="shared" si="3"/>
        <v>-0.0016035855410389433</v>
      </c>
      <c r="L8" s="14">
        <f ca="1" t="shared" si="3"/>
        <v>-0.010193508692630337</v>
      </c>
      <c r="M8" s="14">
        <f ca="1" t="shared" si="3"/>
        <v>-0.008583497818350948</v>
      </c>
    </row>
    <row r="9" spans="1:13" ht="10.5">
      <c r="A9" s="25">
        <f>AVERAGE(CommonDeviations!B31,CommonDeviations!B36,CommonDeviations!B41,CommonDeviations!B46,CommonDeviations!B51)</f>
        <v>2.0859999999999985</v>
      </c>
      <c r="B9" s="14">
        <f ca="1">INDIRECT(ADDRESS(31+(ROW()-9)+(COLUMN()-2)*5,4,3,TRUE,"CommonDeviations"))</f>
        <v>-0.011612838920523606</v>
      </c>
      <c r="C9" s="14">
        <f ca="1" t="shared" si="4" ref="C9:F13">INDIRECT(ADDRESS(31+(ROW()-9)+(COLUMN()-2)*5,4,3,TRUE,"CommonDeviations"))</f>
        <v>-0.00016583325209618138</v>
      </c>
      <c r="D9" s="14">
        <f ca="1" t="shared" si="4"/>
        <v>0.0018811724163311228</v>
      </c>
      <c r="E9" s="14">
        <f ca="1" t="shared" si="4"/>
        <v>0.0053281780847584505</v>
      </c>
      <c r="F9" s="14">
        <f ca="1" t="shared" si="4"/>
        <v>0.0065751837531857985</v>
      </c>
      <c r="H9" s="25">
        <f t="shared" si="2"/>
        <v>2.0859999999999985</v>
      </c>
      <c r="I9" s="14">
        <f ca="1">INDIRECT(ADDRESS(31+(ROW()-9)+(COLUMN()-9)*5,7,3,TRUE,"CommonDeviations"))</f>
        <v>-0.0035452534129432724</v>
      </c>
      <c r="J9" s="14">
        <f ca="1" t="shared" si="5" ref="J9:M13">INDIRECT(ADDRESS(31+(ROW()-9)+(COLUMN()-9)*5,7,3,TRUE,"CommonDeviations"))</f>
        <v>0.00370175225548397</v>
      </c>
      <c r="K9" s="14">
        <f ca="1" t="shared" si="5"/>
        <v>0.001348757923911292</v>
      </c>
      <c r="L9" s="14">
        <f ca="1" t="shared" si="5"/>
        <v>-0.0036042364076612986</v>
      </c>
      <c r="M9" s="14">
        <f ca="1" t="shared" si="5"/>
        <v>-0.010957230739233959</v>
      </c>
    </row>
    <row r="10" spans="1:13" ht="10.5">
      <c r="A10" s="25">
        <f>AVERAGE(CommonDeviations!B32,CommonDeviations!B37,CommonDeviations!B42,CommonDeviations!B47,CommonDeviations!B52)</f>
        <v>16.9825</v>
      </c>
      <c r="B10" s="14">
        <f ca="1">INDIRECT(ADDRESS(31+(ROW()-9)+(COLUMN()-2)*5,4,3,TRUE,"CommonDeviations"))</f>
        <v>-0.007387211408473916</v>
      </c>
      <c r="C10" s="14">
        <f ca="1" t="shared" si="4"/>
        <v>-0.0006403986593778387</v>
      </c>
      <c r="D10" s="14">
        <f ca="1" t="shared" si="4"/>
        <v>0.0031067043469377386</v>
      </c>
      <c r="E10" s="14">
        <f ca="1" t="shared" si="4"/>
        <v>0.005953658846596999</v>
      </c>
      <c r="F10" s="14">
        <f ca="1" t="shared" si="4"/>
        <v>0.009400593248683942</v>
      </c>
      <c r="H10" s="25">
        <f t="shared" si="2"/>
        <v>16.9825</v>
      </c>
      <c r="I10" s="14">
        <f ca="1">INDIRECT(ADDRESS(31+(ROW()-9)+(COLUMN()-9)*5,7,3,TRUE,"CommonDeviations"))</f>
        <v>0.002078132916247166</v>
      </c>
      <c r="J10" s="14">
        <f ca="1" t="shared" si="5"/>
        <v>0.0038251037050048616</v>
      </c>
      <c r="K10" s="14">
        <f ca="1" t="shared" si="5"/>
        <v>0.0013721200752265569</v>
      </c>
      <c r="L10" s="14">
        <f ca="1" t="shared" si="5"/>
        <v>-0.004680927520006128</v>
      </c>
      <c r="M10" s="14">
        <f ca="1" t="shared" si="5"/>
        <v>-0.010833844410043291</v>
      </c>
    </row>
    <row r="11" spans="1:13" ht="10.5">
      <c r="A11" s="25">
        <f>AVERAGE(CommonDeviations!B33,CommonDeviations!B38,CommonDeviations!B43,CommonDeviations!B48,CommonDeviations!B53)</f>
        <v>31.87900000000001</v>
      </c>
      <c r="B11" s="14">
        <f ca="1">INDIRECT(ADDRESS(31+(ROW()-9)+(COLUMN()-2)*5,4,3,TRUE,"CommonDeviations"))</f>
        <v>-0.0031615838964242247</v>
      </c>
      <c r="C11" s="14">
        <f ca="1" t="shared" si="4"/>
        <v>-0.0011149640666594297</v>
      </c>
      <c r="D11" s="14">
        <f ca="1" t="shared" si="4"/>
        <v>0.004332236277544444</v>
      </c>
      <c r="E11" s="14">
        <f ca="1" t="shared" si="4"/>
        <v>0.00657913960843548</v>
      </c>
      <c r="F11" s="14">
        <f ca="1" t="shared" si="4"/>
        <v>0.012226002744182264</v>
      </c>
      <c r="H11" s="25">
        <f t="shared" si="2"/>
        <v>31.87900000000001</v>
      </c>
      <c r="I11" s="14">
        <f ca="1">INDIRECT(ADDRESS(31+(ROW()-9)+(COLUMN()-9)*5,7,3,TRUE,"CommonDeviations"))</f>
        <v>0.007701519245437582</v>
      </c>
      <c r="J11" s="14">
        <f ca="1" t="shared" si="5"/>
        <v>0.003948455154525798</v>
      </c>
      <c r="K11" s="14">
        <f ca="1" t="shared" si="5"/>
        <v>0.001395482226541911</v>
      </c>
      <c r="L11" s="14">
        <f ca="1" t="shared" si="5"/>
        <v>-0.0057576186323508695</v>
      </c>
      <c r="M11" s="14">
        <f ca="1" t="shared" si="5"/>
        <v>-0.010710458080852825</v>
      </c>
    </row>
    <row r="12" spans="1:13" ht="10.5">
      <c r="A12" s="25">
        <f>AVERAGE(CommonDeviations!B34,CommonDeviations!B39,CommonDeviations!B44,CommonDeviations!B49,CommonDeviations!B54)</f>
        <v>46.278800000000004</v>
      </c>
      <c r="B12" s="14">
        <f ca="1">INDIRECT(ADDRESS(31+(ROW()-9)+(COLUMN()-2)*5,4,3,TRUE,"CommonDeviations"))</f>
        <v>-0.0066439018340985305</v>
      </c>
      <c r="C12" s="14">
        <f ca="1" t="shared" si="4"/>
        <v>0.0022029841460724283</v>
      </c>
      <c r="D12" s="14">
        <f ca="1" t="shared" si="4"/>
        <v>0.0004501095027561021</v>
      </c>
      <c r="E12" s="14">
        <f ca="1" t="shared" si="4"/>
        <v>0.004497291334443365</v>
      </c>
      <c r="F12" s="14">
        <f ca="1" t="shared" si="4"/>
        <v>0.008944066018896125</v>
      </c>
      <c r="H12" s="25">
        <f t="shared" si="2"/>
        <v>46.278800000000004</v>
      </c>
      <c r="I12" s="14">
        <f ca="1">INDIRECT(ADDRESS(31+(ROW()-9)+(COLUMN()-9)*5,7,3,TRUE,"CommonDeviations"))</f>
        <v>0.012619635776631366</v>
      </c>
      <c r="J12" s="14">
        <f ca="1" t="shared" si="5"/>
        <v>0.0022665004766128996</v>
      </c>
      <c r="K12" s="14">
        <f ca="1" t="shared" si="5"/>
        <v>-0.0008864938549596243</v>
      </c>
      <c r="L12" s="14">
        <f ca="1" t="shared" si="5"/>
        <v>-0.005639488186532237</v>
      </c>
      <c r="M12" s="14">
        <f ca="1" t="shared" si="5"/>
        <v>-0.010392482518105072</v>
      </c>
    </row>
    <row r="13" spans="1:13" ht="10.5">
      <c r="A13" s="25">
        <f>AVERAGE(CommonDeviations!B35,CommonDeviations!B40,CommonDeviations!B45,CommonDeviations!B50,CommonDeviations!B55)</f>
        <v>60.6788</v>
      </c>
      <c r="B13" s="14">
        <f ca="1">INDIRECT(ADDRESS(31+(ROW()-9)+(COLUMN()-2)*5,4,3,TRUE,"CommonDeviations"))</f>
        <v>-0.019725996030689752</v>
      </c>
      <c r="C13" s="14">
        <f ca="1" t="shared" si="4"/>
        <v>-0.0046788909272717505</v>
      </c>
      <c r="D13" s="14">
        <f ca="1" t="shared" si="4"/>
        <v>-0.0010318852588443</v>
      </c>
      <c r="E13" s="14">
        <f ca="1" t="shared" si="4"/>
        <v>0.0012150038864712429</v>
      </c>
      <c r="F13" s="14">
        <f ca="1" t="shared" si="4"/>
        <v>-0.004737868402827063</v>
      </c>
      <c r="H13" s="25">
        <f t="shared" si="2"/>
        <v>60.6788</v>
      </c>
      <c r="I13" s="14">
        <f ca="1">INDIRECT(ADDRESS(31+(ROW()-9)+(COLUMN()-9)*5,7,3,TRUE,"CommonDeviations"))</f>
        <v>0.015737470370933614</v>
      </c>
      <c r="J13" s="14">
        <f ca="1" t="shared" si="5"/>
        <v>0.0015844760393609256</v>
      </c>
      <c r="K13" s="14">
        <f ca="1" t="shared" si="5"/>
        <v>-0.003168588051550781</v>
      </c>
      <c r="L13" s="14">
        <f ca="1" t="shared" si="5"/>
        <v>0.0014784873762156772</v>
      </c>
      <c r="M13" s="14">
        <f ca="1" t="shared" si="5"/>
        <v>-0.0006745914517231506</v>
      </c>
    </row>
  </sheetData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orientation="landscape" paperSize="9" scale="95" r:id="rId2"/>
  <headerFooter alignWithMargins="0">
    <oddHeader>&amp;C&amp;F</oddHeader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C31" sqref="C31"/>
    </sheetView>
  </sheetViews>
  <sheetFormatPr defaultColWidth="9.140625" defaultRowHeight="12"/>
  <cols>
    <col min="1" max="1" width="28.140625" style="4" customWidth="1"/>
    <col min="2" max="2" width="12.7109375" style="4" customWidth="1"/>
    <col min="3" max="16384" width="12.00390625" style="0" customWidth="1"/>
  </cols>
  <sheetData>
    <row r="1" ht="10.5">
      <c r="A1" s="4" t="s">
        <v>427</v>
      </c>
    </row>
    <row r="3" spans="6:7" ht="10.5">
      <c r="F3">
        <f>F5*F6*F7*F8*F9*F10*F11*F12*F13*F14*F15</f>
        <v>1</v>
      </c>
      <c r="G3" t="str">
        <f>IF(F3&gt;0,"YES","NO")</f>
        <v>YES</v>
      </c>
    </row>
    <row r="4" spans="1:6" ht="10.5">
      <c r="A4" s="4" t="s">
        <v>101</v>
      </c>
      <c r="B4" s="67" t="s">
        <v>428</v>
      </c>
      <c r="C4" t="str">
        <f>ModuleFrame!J3</f>
        <v>measure</v>
      </c>
      <c r="D4" t="s">
        <v>429</v>
      </c>
      <c r="E4" t="s">
        <v>430</v>
      </c>
      <c r="F4" t="s">
        <v>431</v>
      </c>
    </row>
    <row r="5" spans="1:6" ht="10.5">
      <c r="A5" s="4" t="s">
        <v>104</v>
      </c>
      <c r="B5" s="4">
        <v>0</v>
      </c>
      <c r="C5" s="26">
        <f>ModuleFrame!J4</f>
        <v>-0.048925572362701564</v>
      </c>
      <c r="D5" s="26">
        <f>C5-B5</f>
        <v>-0.048925572362701564</v>
      </c>
      <c r="E5" s="26">
        <v>-0.2</v>
      </c>
      <c r="F5">
        <f>IF(D5&gt;E5,1,0)</f>
        <v>1</v>
      </c>
    </row>
    <row r="6" spans="1:6" ht="10.5">
      <c r="A6" s="4" t="s">
        <v>108</v>
      </c>
      <c r="B6" s="4">
        <v>0</v>
      </c>
      <c r="C6" s="26">
        <f>ModuleFrame!J5</f>
        <v>0.012991094303965167</v>
      </c>
      <c r="D6" s="26">
        <f aca="true" t="shared" si="0" ref="D6:D15">C6-B6</f>
        <v>0.012991094303965167</v>
      </c>
      <c r="E6" s="26">
        <v>0.2</v>
      </c>
      <c r="F6">
        <f aca="true" t="shared" si="1" ref="F6:F11">IF(D6&lt;E6,1,0)</f>
        <v>1</v>
      </c>
    </row>
    <row r="7" spans="1:6" ht="9.75" customHeight="1">
      <c r="A7" s="4" t="s">
        <v>113</v>
      </c>
      <c r="B7" s="4">
        <v>1.15</v>
      </c>
      <c r="C7" s="26">
        <f>MidplaneThickness!H9</f>
        <v>1.118083333333333</v>
      </c>
      <c r="D7" s="26">
        <f t="shared" si="0"/>
        <v>-0.031916666666666815</v>
      </c>
      <c r="E7" s="26">
        <v>0.1</v>
      </c>
      <c r="F7">
        <f t="shared" si="1"/>
        <v>1</v>
      </c>
    </row>
    <row r="8" spans="1:6" ht="10.5">
      <c r="A8" s="4" t="s">
        <v>116</v>
      </c>
      <c r="B8" s="4">
        <v>0</v>
      </c>
      <c r="C8" s="26">
        <f>CommonDeviations!J5</f>
        <v>0.02493681369864429</v>
      </c>
      <c r="D8" s="26">
        <f t="shared" si="0"/>
        <v>0.02493681369864429</v>
      </c>
      <c r="E8" s="26">
        <v>0.05</v>
      </c>
      <c r="F8">
        <f t="shared" si="1"/>
        <v>1</v>
      </c>
    </row>
    <row r="9" spans="1:6" ht="10.5">
      <c r="A9" s="4" t="s">
        <v>119</v>
      </c>
      <c r="B9" s="4">
        <v>0</v>
      </c>
      <c r="C9" s="26">
        <f>CommonDeviations!J6</f>
        <v>0.026384458691859722</v>
      </c>
      <c r="D9" s="26">
        <f t="shared" si="0"/>
        <v>0.026384458691859722</v>
      </c>
      <c r="E9" s="26">
        <v>0.05</v>
      </c>
      <c r="F9">
        <f t="shared" si="1"/>
        <v>1</v>
      </c>
    </row>
    <row r="10" spans="1:6" ht="10.5">
      <c r="A10" s="4" t="s">
        <v>432</v>
      </c>
      <c r="B10" s="4">
        <v>0</v>
      </c>
      <c r="C10" s="26">
        <f>CommonDeviations!J7</f>
        <v>0.008901912488675685</v>
      </c>
      <c r="D10" s="26">
        <f t="shared" si="0"/>
        <v>0.008901912488675685</v>
      </c>
      <c r="E10" s="26">
        <v>0.025</v>
      </c>
      <c r="F10">
        <f t="shared" si="1"/>
        <v>1</v>
      </c>
    </row>
    <row r="11" spans="1:6" ht="10.5">
      <c r="A11" s="4" t="s">
        <v>433</v>
      </c>
      <c r="B11" s="4">
        <v>0</v>
      </c>
      <c r="C11" s="26">
        <f>CommonDeviations!J8</f>
        <v>0.008653307744312624</v>
      </c>
      <c r="D11" s="26">
        <f t="shared" si="0"/>
        <v>0.008653307744312624</v>
      </c>
      <c r="E11" s="26">
        <v>0.025</v>
      </c>
      <c r="F11">
        <f t="shared" si="1"/>
        <v>1</v>
      </c>
    </row>
    <row r="12" spans="1:6" ht="10.5">
      <c r="A12" s="28" t="s">
        <v>146</v>
      </c>
      <c r="B12" s="28" t="s">
        <v>105</v>
      </c>
      <c r="C12" s="26">
        <f>LoCoolingFacing!S5</f>
        <v>-0.24844067477947845</v>
      </c>
      <c r="D12" s="26">
        <f t="shared" si="0"/>
        <v>-0.24844067477947845</v>
      </c>
      <c r="E12" s="26">
        <v>0.5</v>
      </c>
      <c r="F12">
        <f>IF(ABS(D12)&lt;E12,1,0)</f>
        <v>1</v>
      </c>
    </row>
    <row r="13" spans="1:6" ht="10.5">
      <c r="A13" s="28" t="s">
        <v>149</v>
      </c>
      <c r="B13" s="28" t="s">
        <v>105</v>
      </c>
      <c r="C13" s="26">
        <f>LoCoolingFacing!S6</f>
        <v>0.4902393429765811</v>
      </c>
      <c r="D13" s="26">
        <f t="shared" si="0"/>
        <v>0.4902393429765811</v>
      </c>
      <c r="E13" s="26">
        <v>3</v>
      </c>
      <c r="F13">
        <f>IF(ABS(D13)&lt;E13,1,0)</f>
        <v>1</v>
      </c>
    </row>
    <row r="14" spans="1:6" ht="10.5">
      <c r="A14" s="4" t="s">
        <v>152</v>
      </c>
      <c r="B14" s="4">
        <v>0</v>
      </c>
      <c r="C14" s="26">
        <f>LoFacingFrame!J61</f>
        <v>0.005347222222222222</v>
      </c>
      <c r="D14" s="26">
        <f t="shared" si="0"/>
        <v>0.005347222222222222</v>
      </c>
      <c r="E14" s="26">
        <v>0.03</v>
      </c>
      <c r="F14">
        <f>IF(ABS(D14)&lt;E14,1,0)</f>
        <v>1</v>
      </c>
    </row>
    <row r="15" spans="1:6" ht="10.5">
      <c r="A15" s="4" t="str">
        <f>MidplaneThickness!G26</f>
        <v>capMaxThickness [mm]</v>
      </c>
      <c r="B15" s="4">
        <v>5.78</v>
      </c>
      <c r="C15" s="26">
        <f>MidplaneThickness!H26</f>
        <v>5.683</v>
      </c>
      <c r="D15" s="26">
        <f t="shared" si="0"/>
        <v>-0.09700000000000042</v>
      </c>
      <c r="E15" s="26">
        <v>0.66</v>
      </c>
      <c r="F15">
        <f>IF(D15&lt;E15,1,0)</f>
        <v>1</v>
      </c>
    </row>
    <row r="17" spans="1:6" ht="10.5">
      <c r="A17" s="4" t="s">
        <v>434</v>
      </c>
      <c r="F17" t="s">
        <v>435</v>
      </c>
    </row>
    <row r="18" spans="1:6" ht="10.5">
      <c r="A18" s="4" t="s">
        <v>436</v>
      </c>
      <c r="B18" s="4">
        <v>1.18</v>
      </c>
      <c r="C18" s="26">
        <f>LoFacingFrame!K63</f>
        <v>1.0733333333333333</v>
      </c>
      <c r="D18" s="26">
        <f aca="true" t="shared" si="2" ref="D18:D32">C18-B18</f>
        <v>-0.10666666666666669</v>
      </c>
      <c r="E18">
        <v>0.19</v>
      </c>
      <c r="F18">
        <f aca="true" t="shared" si="3" ref="F18:F29">IF(ABS(D18)&lt;E18,1,0)</f>
        <v>1</v>
      </c>
    </row>
    <row r="19" spans="1:6" ht="10.5">
      <c r="A19" s="4" t="s">
        <v>437</v>
      </c>
      <c r="B19" s="4">
        <v>1.18</v>
      </c>
      <c r="C19" s="26">
        <f>LoFacingFrame!L63</f>
        <v>1.0735000000000001</v>
      </c>
      <c r="D19" s="26">
        <f t="shared" si="2"/>
        <v>-0.10649999999999982</v>
      </c>
      <c r="E19">
        <v>0.19</v>
      </c>
      <c r="F19">
        <f t="shared" si="3"/>
        <v>1</v>
      </c>
    </row>
    <row r="20" spans="1:6" ht="10.5">
      <c r="A20" s="4" t="s">
        <v>438</v>
      </c>
      <c r="B20" s="4">
        <v>1.18</v>
      </c>
      <c r="C20" s="26">
        <f>LoFacingFrame!K65</f>
        <v>1.1545</v>
      </c>
      <c r="D20" s="26">
        <f t="shared" si="2"/>
        <v>-0.025499999999999856</v>
      </c>
      <c r="E20">
        <v>0.19</v>
      </c>
      <c r="F20">
        <f t="shared" si="3"/>
        <v>1</v>
      </c>
    </row>
    <row r="21" spans="1:6" ht="10.5">
      <c r="A21" s="4" t="s">
        <v>439</v>
      </c>
      <c r="B21" s="4">
        <v>1.18</v>
      </c>
      <c r="C21" s="26">
        <f>LoFacingFrame!L65</f>
        <v>1.1725000000000003</v>
      </c>
      <c r="D21" s="26">
        <f t="shared" si="2"/>
        <v>-0.007499999999999618</v>
      </c>
      <c r="E21">
        <v>0.19</v>
      </c>
      <c r="F21">
        <f t="shared" si="3"/>
        <v>1</v>
      </c>
    </row>
    <row r="22" spans="1:6" ht="10.5">
      <c r="A22" s="4" t="s">
        <v>440</v>
      </c>
      <c r="B22" s="4">
        <v>1.18</v>
      </c>
      <c r="C22" s="26">
        <f>LoFacingFrame!K66</f>
        <v>1.0970000000000002</v>
      </c>
      <c r="D22" s="26">
        <f t="shared" si="2"/>
        <v>-0.08299999999999974</v>
      </c>
      <c r="E22">
        <v>0.19</v>
      </c>
      <c r="F22">
        <f t="shared" si="3"/>
        <v>1</v>
      </c>
    </row>
    <row r="23" spans="1:6" ht="10.5">
      <c r="A23" s="4" t="s">
        <v>441</v>
      </c>
      <c r="B23" s="4">
        <v>1.18</v>
      </c>
      <c r="C23" s="26">
        <f>LoFacingFrame!L66</f>
        <v>1.1415</v>
      </c>
      <c r="D23" s="26">
        <f t="shared" si="2"/>
        <v>-0.03849999999999998</v>
      </c>
      <c r="E23">
        <v>0.19</v>
      </c>
      <c r="F23">
        <f t="shared" si="3"/>
        <v>1</v>
      </c>
    </row>
    <row r="24" spans="1:6" ht="10.5">
      <c r="A24" s="4" t="s">
        <v>442</v>
      </c>
      <c r="B24" s="4">
        <v>1.18</v>
      </c>
      <c r="C24" s="26">
        <f>LoFacingFrame!K68</f>
        <v>1.0971666666666668</v>
      </c>
      <c r="D24" s="26">
        <f t="shared" si="2"/>
        <v>-0.08283333333333309</v>
      </c>
      <c r="E24">
        <v>0.19</v>
      </c>
      <c r="F24">
        <f t="shared" si="3"/>
        <v>1</v>
      </c>
    </row>
    <row r="25" spans="1:6" ht="10.5">
      <c r="A25" s="4" t="s">
        <v>443</v>
      </c>
      <c r="B25" s="4">
        <v>1.18</v>
      </c>
      <c r="C25" s="26">
        <f>LoFacingFrame!L68</f>
        <v>1.0971666666666668</v>
      </c>
      <c r="D25" s="26">
        <f t="shared" si="2"/>
        <v>-0.08283333333333309</v>
      </c>
      <c r="E25">
        <v>0.19</v>
      </c>
      <c r="F25">
        <f t="shared" si="3"/>
        <v>1</v>
      </c>
    </row>
    <row r="26" spans="1:6" ht="10.5">
      <c r="A26" s="4" t="s">
        <v>165</v>
      </c>
      <c r="B26" s="4">
        <v>0</v>
      </c>
      <c r="C26" s="26">
        <f>LoFacingFrame!J69</f>
        <v>0.00098611111111091</v>
      </c>
      <c r="D26" s="26">
        <f t="shared" si="2"/>
        <v>0.00098611111111091</v>
      </c>
      <c r="E26">
        <v>0.15</v>
      </c>
      <c r="F26">
        <f t="shared" si="3"/>
        <v>1</v>
      </c>
    </row>
    <row r="27" spans="1:6" ht="10.5">
      <c r="A27" s="4" t="s">
        <v>168</v>
      </c>
      <c r="B27" s="4">
        <v>0</v>
      </c>
      <c r="C27" s="26">
        <f>LoFacingFrame!J70</f>
        <v>-0.04415277777777815</v>
      </c>
      <c r="D27" s="26">
        <f t="shared" si="2"/>
        <v>-0.04415277777777815</v>
      </c>
      <c r="E27">
        <v>0.15</v>
      </c>
      <c r="F27">
        <f t="shared" si="3"/>
        <v>1</v>
      </c>
    </row>
    <row r="28" spans="1:6" ht="10.5">
      <c r="A28" s="4" t="s">
        <v>170</v>
      </c>
      <c r="B28" s="4">
        <v>0.465</v>
      </c>
      <c r="C28" s="26">
        <f>B28-(AVERAGE(B18:B21)-AVERAGE(C18:C21))+C26</f>
        <v>0.40444444444444433</v>
      </c>
      <c r="D28" s="26">
        <f t="shared" si="2"/>
        <v>-0.060555555555555696</v>
      </c>
      <c r="E28">
        <v>0.2</v>
      </c>
      <c r="F28">
        <f t="shared" si="3"/>
        <v>1</v>
      </c>
    </row>
    <row r="29" spans="1:6" ht="10.5">
      <c r="A29" s="4" t="s">
        <v>174</v>
      </c>
      <c r="B29" s="4">
        <v>0.465</v>
      </c>
      <c r="C29" s="26">
        <f>B29-(AVERAGE(B22:B25)-AVERAGE(C22:C25))+C27</f>
        <v>0.3490555555555554</v>
      </c>
      <c r="D29" s="26">
        <f t="shared" si="2"/>
        <v>-0.11594444444444463</v>
      </c>
      <c r="E29">
        <v>0.2</v>
      </c>
      <c r="F29">
        <f t="shared" si="3"/>
        <v>1</v>
      </c>
    </row>
    <row r="30" spans="1:6" ht="10.5">
      <c r="A30" s="4" t="s">
        <v>176</v>
      </c>
      <c r="B30" s="4">
        <v>2.43</v>
      </c>
      <c r="C30" s="26">
        <f>LoFacingFrame!J71</f>
        <v>2.407916666666667</v>
      </c>
      <c r="D30" s="26">
        <f t="shared" si="2"/>
        <v>-0.022083333333333233</v>
      </c>
      <c r="E30">
        <v>0.3</v>
      </c>
      <c r="F30">
        <f>IF((D30)&lt;E30,1,0)</f>
        <v>1</v>
      </c>
    </row>
    <row r="31" spans="1:6" ht="10.5">
      <c r="A31" s="4" t="s">
        <v>180</v>
      </c>
      <c r="B31" s="4">
        <v>2.43</v>
      </c>
      <c r="C31" s="26">
        <f>LoFacingFrame!J72</f>
        <v>2.36125</v>
      </c>
      <c r="D31" s="26">
        <f t="shared" si="2"/>
        <v>-0.06875000000000009</v>
      </c>
      <c r="E31">
        <v>0.3</v>
      </c>
      <c r="F31">
        <f>IF((D31)&lt;E31,1,0)</f>
        <v>1</v>
      </c>
    </row>
    <row r="32" spans="1:6" ht="10.5">
      <c r="A32" s="4" t="s">
        <v>182</v>
      </c>
      <c r="B32" s="4">
        <v>3.28</v>
      </c>
      <c r="C32" s="26">
        <f>MidplaneThickness!$H$25</f>
        <v>3.1819999999999995</v>
      </c>
      <c r="D32" s="26">
        <f t="shared" si="2"/>
        <v>-0.09800000000000031</v>
      </c>
      <c r="E32">
        <v>0.44</v>
      </c>
      <c r="F32">
        <f>IF((D32)&lt;E32,1,0)</f>
        <v>1</v>
      </c>
    </row>
  </sheetData>
  <printOptions/>
  <pageMargins left="0.75" right="0.75" top="1" bottom="1" header="0.512" footer="0.512"/>
  <pageSetup orientation="portrait" paperSize="9" r:id="rId1"/>
  <headerFooter alignWithMargins="0">
    <oddHeader>&amp;C&amp;F</oddHeader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1"/>
  <sheetViews>
    <sheetView tabSelected="1" workbookViewId="0" topLeftCell="A1">
      <selection activeCell="I32" sqref="I32"/>
    </sheetView>
  </sheetViews>
  <sheetFormatPr defaultColWidth="9.140625" defaultRowHeight="12"/>
  <cols>
    <col min="1" max="1" width="26.7109375" style="28" customWidth="1"/>
    <col min="2" max="2" width="21.140625" style="29" customWidth="1"/>
    <col min="3" max="16384" width="12.00390625" style="0" customWidth="1"/>
  </cols>
  <sheetData>
    <row r="1" spans="1:2" ht="10.5">
      <c r="A1" s="133" t="s">
        <v>524</v>
      </c>
      <c r="B1" s="134">
        <v>20220330200099</v>
      </c>
    </row>
    <row r="2" spans="1:2" ht="10.5">
      <c r="A2" s="133" t="s">
        <v>525</v>
      </c>
      <c r="B2" s="135" t="s">
        <v>531</v>
      </c>
    </row>
    <row r="3" spans="1:2" ht="10.5">
      <c r="A3" s="133" t="s">
        <v>444</v>
      </c>
      <c r="B3" s="136">
        <v>36219</v>
      </c>
    </row>
    <row r="4" spans="1:2" ht="10.5">
      <c r="A4" s="133" t="s">
        <v>527</v>
      </c>
      <c r="B4" s="133" t="s">
        <v>532</v>
      </c>
    </row>
    <row r="5" spans="1:2" ht="10.5">
      <c r="A5" s="133" t="s">
        <v>528</v>
      </c>
      <c r="B5" s="133" t="s">
        <v>474</v>
      </c>
    </row>
    <row r="6" spans="1:2" ht="10.5">
      <c r="A6" s="133" t="s">
        <v>529</v>
      </c>
      <c r="B6" s="133" t="s">
        <v>454</v>
      </c>
    </row>
    <row r="7" spans="1:2" ht="10.5">
      <c r="A7" s="133" t="s">
        <v>530</v>
      </c>
      <c r="B7" s="133"/>
    </row>
    <row r="8" spans="1:2" ht="10.5">
      <c r="A8" s="133" t="s">
        <v>526</v>
      </c>
      <c r="B8" s="135" t="s">
        <v>533</v>
      </c>
    </row>
    <row r="9" spans="1:2" ht="10.5">
      <c r="A9" s="133" t="s">
        <v>445</v>
      </c>
      <c r="B9" s="135" t="str">
        <f>IF(B10="YES","NO","YES")</f>
        <v>NO</v>
      </c>
    </row>
    <row r="10" spans="1:2" ht="10.5">
      <c r="A10" s="133" t="s">
        <v>446</v>
      </c>
      <c r="B10" s="135" t="str">
        <f>Tolerances!G3</f>
        <v>YES</v>
      </c>
    </row>
    <row r="11" spans="1:4" ht="10.5">
      <c r="A11" s="133" t="s">
        <v>104</v>
      </c>
      <c r="B11" s="137">
        <f>ModuleFrame!J4</f>
        <v>-0.048925572362701564</v>
      </c>
      <c r="D11" s="4"/>
    </row>
    <row r="12" spans="1:2" ht="10.5">
      <c r="A12" s="133" t="s">
        <v>108</v>
      </c>
      <c r="B12" s="137">
        <f>ModuleFrame!$J$5</f>
        <v>0.012991094303965167</v>
      </c>
    </row>
    <row r="13" spans="1:2" ht="10.5">
      <c r="A13" s="28" t="s">
        <v>447</v>
      </c>
      <c r="B13" s="30" t="s">
        <v>363</v>
      </c>
    </row>
    <row r="14" spans="1:2" ht="10.5">
      <c r="A14" s="133" t="s">
        <v>448</v>
      </c>
      <c r="B14" s="138">
        <f>Transformations!R39</f>
        <v>0.0010930566398016277</v>
      </c>
    </row>
    <row r="15" spans="1:2" ht="10.5">
      <c r="A15" s="133" t="s">
        <v>449</v>
      </c>
      <c r="B15" s="138">
        <f>Transformations!R40</f>
        <v>-3.311807159617522E-05</v>
      </c>
    </row>
    <row r="16" spans="1:2" ht="10.5">
      <c r="A16" s="133" t="s">
        <v>450</v>
      </c>
      <c r="B16" s="138">
        <f>Transformations!R41</f>
        <v>0.4593350922595962</v>
      </c>
    </row>
    <row r="17" spans="1:2" ht="10.5">
      <c r="A17" s="133" t="s">
        <v>451</v>
      </c>
      <c r="B17" s="138">
        <f>Transformations!R67</f>
        <v>-8.449636735478168E-05</v>
      </c>
    </row>
    <row r="18" spans="1:2" ht="10.5">
      <c r="A18" s="133" t="s">
        <v>449</v>
      </c>
      <c r="B18" s="138">
        <f>Transformations!R68</f>
        <v>-0.00014253268260420074</v>
      </c>
    </row>
    <row r="19" spans="1:2" ht="10.5">
      <c r="A19" s="133" t="s">
        <v>450</v>
      </c>
      <c r="B19" s="138">
        <f>Transformations!R69</f>
        <v>0.4585993857991401</v>
      </c>
    </row>
    <row r="20" spans="1:2" ht="10.5">
      <c r="A20" s="133" t="s">
        <v>110</v>
      </c>
      <c r="B20" s="137">
        <f>ModuleFrame!$B$2</f>
        <v>0.45896723902936815</v>
      </c>
    </row>
    <row r="21" spans="1:2" ht="10.5">
      <c r="A21" s="133" t="s">
        <v>113</v>
      </c>
      <c r="B21" s="137">
        <f>MidplaneThickness!H9</f>
        <v>1.118083333333333</v>
      </c>
    </row>
    <row r="22" spans="1:2" ht="10.5">
      <c r="A22" s="133" t="s">
        <v>116</v>
      </c>
      <c r="B22" s="137">
        <f>CommonDeviations!J5</f>
        <v>0.02493681369864429</v>
      </c>
    </row>
    <row r="23" spans="1:2" ht="10.5">
      <c r="A23" s="133" t="s">
        <v>119</v>
      </c>
      <c r="B23" s="137">
        <f>CommonDeviations!J6</f>
        <v>0.026384458691859722</v>
      </c>
    </row>
    <row r="24" spans="1:2" ht="10.5">
      <c r="A24" s="133" t="s">
        <v>121</v>
      </c>
      <c r="B24" s="137">
        <f>CommonDeviations!J7</f>
        <v>0.008901912488675685</v>
      </c>
    </row>
    <row r="25" spans="1:2" ht="10.5">
      <c r="A25" s="133" t="s">
        <v>124</v>
      </c>
      <c r="B25" s="137">
        <f>CommonDeviations!J8</f>
        <v>0.008653307744312624</v>
      </c>
    </row>
    <row r="26" spans="1:2" ht="10.5">
      <c r="A26" s="133" t="s">
        <v>126</v>
      </c>
      <c r="B26" s="137">
        <f>MidplaneThickness!H5</f>
        <v>0.033449999999999924</v>
      </c>
    </row>
    <row r="27" spans="1:2" ht="10.5">
      <c r="A27" s="133" t="s">
        <v>128</v>
      </c>
      <c r="B27" s="137">
        <f>MidplaneThickness!I5</f>
        <v>-0.0009499999999999509</v>
      </c>
    </row>
    <row r="28" spans="1:2" ht="10.5">
      <c r="A28" s="133" t="s">
        <v>130</v>
      </c>
      <c r="B28" s="137">
        <f>MidplaneThickness!H6</f>
        <v>0.06259999999999993</v>
      </c>
    </row>
    <row r="29" spans="1:2" ht="10.5">
      <c r="A29" s="133" t="s">
        <v>128</v>
      </c>
      <c r="B29" s="137">
        <f>MidplaneThickness!I6</f>
        <v>-0.007600000000000051</v>
      </c>
    </row>
    <row r="30" spans="1:2" ht="10.5">
      <c r="A30" s="133" t="s">
        <v>133</v>
      </c>
      <c r="B30" s="137">
        <f>MidplaneThickness!H12</f>
        <v>0.9138333333333333</v>
      </c>
    </row>
    <row r="31" spans="1:2" ht="10.5">
      <c r="A31" s="133" t="s">
        <v>136</v>
      </c>
      <c r="B31" s="137">
        <f>MidplaneThickness!H13</f>
        <v>0.9033333333333333</v>
      </c>
    </row>
    <row r="32" spans="1:2" ht="10.5">
      <c r="A32" s="133" t="s">
        <v>138</v>
      </c>
      <c r="B32" s="137">
        <f>MidplaneThickness!H16</f>
        <v>0.45429166666666665</v>
      </c>
    </row>
    <row r="33" spans="1:2" ht="10.5">
      <c r="A33" s="133" t="s">
        <v>140</v>
      </c>
      <c r="B33" s="137">
        <f>MidplaneThickness!H17</f>
        <v>0.005249999999999977</v>
      </c>
    </row>
    <row r="34" spans="1:2" ht="10.5">
      <c r="A34" s="133" t="s">
        <v>142</v>
      </c>
      <c r="B34" s="137">
        <f>MidplaneThickness!H19</f>
        <v>0.13949999999999985</v>
      </c>
    </row>
    <row r="35" spans="1:2" ht="10.5">
      <c r="A35" s="133" t="s">
        <v>144</v>
      </c>
      <c r="B35" s="137">
        <f>MidplaneThickness!H20</f>
        <v>-0.004675572362701497</v>
      </c>
    </row>
    <row r="36" spans="1:2" ht="10.5">
      <c r="A36" s="133" t="s">
        <v>146</v>
      </c>
      <c r="B36" s="137">
        <f>LoCoolingFacing!S5</f>
        <v>-0.24844067477947845</v>
      </c>
    </row>
    <row r="37" spans="1:2" ht="10.5">
      <c r="A37" s="133" t="s">
        <v>149</v>
      </c>
      <c r="B37" s="137">
        <f>LoCoolingFacing!S6</f>
        <v>0.4902393429765811</v>
      </c>
    </row>
    <row r="38" spans="1:2" ht="10.5">
      <c r="A38" s="133" t="s">
        <v>152</v>
      </c>
      <c r="B38" s="137">
        <f>LoFacingFrame!J61</f>
        <v>0.005347222222222222</v>
      </c>
    </row>
    <row r="39" spans="1:2" ht="10.5">
      <c r="A39" s="133" t="s">
        <v>155</v>
      </c>
      <c r="B39" s="137">
        <f>LoFacingFrame!$J$63</f>
        <v>1.0734166666666667</v>
      </c>
    </row>
    <row r="40" spans="1:2" ht="10.5">
      <c r="A40" s="133" t="s">
        <v>159</v>
      </c>
      <c r="B40" s="137">
        <f>LoFacingFrame!$J$65</f>
        <v>1.1635000000000004</v>
      </c>
    </row>
    <row r="41" spans="1:2" ht="10.5">
      <c r="A41" s="133" t="s">
        <v>161</v>
      </c>
      <c r="B41" s="137">
        <f>LoFacingFrame!$J$66</f>
        <v>1.11925</v>
      </c>
    </row>
    <row r="42" spans="1:2" ht="10.5">
      <c r="A42" s="133" t="s">
        <v>163</v>
      </c>
      <c r="B42" s="137">
        <f>LoFacingFrame!$J$68</f>
        <v>1.0971666666666668</v>
      </c>
    </row>
    <row r="43" spans="1:2" ht="10.5">
      <c r="A43" s="133" t="s">
        <v>165</v>
      </c>
      <c r="B43" s="137">
        <f>LoFacingFrame!$J$69</f>
        <v>0.00098611111111091</v>
      </c>
    </row>
    <row r="44" spans="1:2" ht="10.5">
      <c r="A44" s="133" t="s">
        <v>168</v>
      </c>
      <c r="B44" s="137">
        <f>LoFacingFrame!$J$70</f>
        <v>-0.04415277777777815</v>
      </c>
    </row>
    <row r="45" spans="1:2" ht="10.5">
      <c r="A45" s="133" t="s">
        <v>176</v>
      </c>
      <c r="B45" s="137">
        <f>LoFacingFrame!$J$71</f>
        <v>2.407916666666667</v>
      </c>
    </row>
    <row r="46" spans="1:2" ht="10.5">
      <c r="A46" s="133" t="s">
        <v>180</v>
      </c>
      <c r="B46" s="137">
        <f>LoFacingFrame!$J$72</f>
        <v>2.36125</v>
      </c>
    </row>
    <row r="47" spans="1:2" ht="10.5">
      <c r="A47" s="133" t="s">
        <v>182</v>
      </c>
      <c r="B47" s="137">
        <f>MidplaneThickness!$H$25</f>
        <v>3.1819999999999995</v>
      </c>
    </row>
    <row r="48" spans="1:2" ht="10.5">
      <c r="A48" s="133" t="s">
        <v>186</v>
      </c>
      <c r="B48" s="137">
        <f>MidplaneThickness!$H$26</f>
        <v>5.683</v>
      </c>
    </row>
    <row r="49" ht="10.5">
      <c r="A49" s="28" t="s">
        <v>452</v>
      </c>
    </row>
    <row r="50" spans="1:2" ht="10.5">
      <c r="A50" s="28" t="s">
        <v>453</v>
      </c>
      <c r="B50" s="30" t="s">
        <v>312</v>
      </c>
    </row>
    <row r="51" spans="1:2" ht="10.5">
      <c r="A51" s="28" t="s">
        <v>454</v>
      </c>
      <c r="B51" s="30">
        <f>OptimalFrame!B5</f>
        <v>-60.999</v>
      </c>
    </row>
    <row r="52" spans="1:2" ht="10.5">
      <c r="A52" s="28" t="s">
        <v>455</v>
      </c>
      <c r="B52" s="30">
        <f>OptimalFrame!B6</f>
        <v>-46.6</v>
      </c>
    </row>
    <row r="53" spans="1:2" ht="10.5">
      <c r="A53" s="28" t="s">
        <v>456</v>
      </c>
      <c r="B53" s="30">
        <f>OptimalFrame!B7</f>
        <v>-32.2</v>
      </c>
    </row>
    <row r="54" spans="1:2" ht="10.5">
      <c r="A54" s="28" t="s">
        <v>457</v>
      </c>
      <c r="B54" s="30">
        <f>OptimalFrame!B8</f>
        <v>-17.799999999999997</v>
      </c>
    </row>
    <row r="55" spans="1:2" ht="10.5">
      <c r="A55" s="28" t="s">
        <v>458</v>
      </c>
      <c r="B55" s="30">
        <f>OptimalFrame!B9</f>
        <v>-3.399000000000001</v>
      </c>
    </row>
    <row r="56" spans="1:2" ht="10.5">
      <c r="A56" s="28" t="s">
        <v>459</v>
      </c>
      <c r="B56" s="30">
        <f>OptimalFrame!B10</f>
        <v>-60.999</v>
      </c>
    </row>
    <row r="57" spans="1:2" ht="10.5">
      <c r="A57" s="28" t="s">
        <v>460</v>
      </c>
      <c r="B57" s="30">
        <f>OptimalFrame!B11</f>
        <v>-46.599000000000004</v>
      </c>
    </row>
    <row r="58" spans="1:2" ht="10.5">
      <c r="A58" s="28" t="s">
        <v>461</v>
      </c>
      <c r="B58" s="30">
        <f>OptimalFrame!B12</f>
        <v>-32.2</v>
      </c>
    </row>
    <row r="59" spans="1:2" ht="10.5">
      <c r="A59" s="28" t="s">
        <v>462</v>
      </c>
      <c r="B59" s="30">
        <f>OptimalFrame!B13</f>
        <v>-17.799999999999997</v>
      </c>
    </row>
    <row r="60" spans="1:2" ht="10.5">
      <c r="A60" s="28" t="s">
        <v>463</v>
      </c>
      <c r="B60" s="30">
        <f>OptimalFrame!B14</f>
        <v>-3.399000000000001</v>
      </c>
    </row>
    <row r="61" spans="1:2" ht="10.5">
      <c r="A61" s="28" t="s">
        <v>464</v>
      </c>
      <c r="B61" s="30">
        <f>OptimalFrame!B15</f>
        <v>-61</v>
      </c>
    </row>
    <row r="62" spans="1:2" ht="10.5">
      <c r="A62" s="28" t="s">
        <v>465</v>
      </c>
      <c r="B62" s="30">
        <f>OptimalFrame!B16</f>
        <v>-46.599000000000004</v>
      </c>
    </row>
    <row r="63" spans="1:2" ht="10.5">
      <c r="A63" s="28" t="s">
        <v>466</v>
      </c>
      <c r="B63" s="30">
        <f>OptimalFrame!B17</f>
        <v>-32.2</v>
      </c>
    </row>
    <row r="64" spans="1:2" ht="10.5">
      <c r="A64" s="28" t="s">
        <v>467</v>
      </c>
      <c r="B64" s="30">
        <f>OptimalFrame!B18</f>
        <v>-17.799999999999997</v>
      </c>
    </row>
    <row r="65" spans="1:2" ht="10.5">
      <c r="A65" s="28" t="s">
        <v>468</v>
      </c>
      <c r="B65" s="30">
        <f>OptimalFrame!B19</f>
        <v>-3.3999999999999986</v>
      </c>
    </row>
    <row r="66" spans="1:2" ht="10.5">
      <c r="A66" s="28" t="s">
        <v>469</v>
      </c>
      <c r="B66" s="30">
        <f>OptimalFrame!B20</f>
        <v>-61</v>
      </c>
    </row>
    <row r="67" spans="1:2" ht="10.5">
      <c r="A67" s="28" t="s">
        <v>470</v>
      </c>
      <c r="B67" s="30">
        <f>OptimalFrame!B21</f>
        <v>-46.599000000000004</v>
      </c>
    </row>
    <row r="68" spans="1:2" ht="10.5">
      <c r="A68" s="28" t="s">
        <v>471</v>
      </c>
      <c r="B68" s="30">
        <f>OptimalFrame!B22</f>
        <v>-32.2</v>
      </c>
    </row>
    <row r="69" spans="1:2" ht="10.5">
      <c r="A69" s="28" t="s">
        <v>472</v>
      </c>
      <c r="B69" s="30">
        <f>OptimalFrame!B23</f>
        <v>-17.799999999999997</v>
      </c>
    </row>
    <row r="70" spans="1:2" ht="10.5">
      <c r="A70" s="28" t="s">
        <v>473</v>
      </c>
      <c r="B70" s="30">
        <f>OptimalFrame!B24</f>
        <v>-3.3999999999999986</v>
      </c>
    </row>
    <row r="71" spans="1:2" ht="10.5">
      <c r="A71" s="28" t="s">
        <v>474</v>
      </c>
      <c r="B71" s="30">
        <f>OptimalFrame!B25</f>
        <v>-60.999</v>
      </c>
    </row>
    <row r="72" spans="1:2" ht="10.5">
      <c r="A72" s="28" t="s">
        <v>475</v>
      </c>
      <c r="B72" s="30">
        <f>OptimalFrame!B26</f>
        <v>-46.6</v>
      </c>
    </row>
    <row r="73" spans="1:2" ht="10.5">
      <c r="A73" s="28" t="s">
        <v>476</v>
      </c>
      <c r="B73" s="30">
        <f>OptimalFrame!B27</f>
        <v>-32.199</v>
      </c>
    </row>
    <row r="74" spans="1:2" ht="10.5">
      <c r="A74" s="28" t="s">
        <v>477</v>
      </c>
      <c r="B74" s="30">
        <f>OptimalFrame!B28</f>
        <v>-17.799</v>
      </c>
    </row>
    <row r="75" spans="1:2" ht="10.5">
      <c r="A75" s="28" t="s">
        <v>478</v>
      </c>
      <c r="B75" s="30">
        <f>OptimalFrame!B29</f>
        <v>-3.399000000000001</v>
      </c>
    </row>
    <row r="76" spans="1:2" ht="10.5">
      <c r="A76" s="28" t="s">
        <v>479</v>
      </c>
      <c r="B76" s="30" t="str">
        <f>OptimalFrame!B30</f>
        <v>x</v>
      </c>
    </row>
    <row r="77" spans="1:2" ht="10.5">
      <c r="A77" s="28" t="s">
        <v>454</v>
      </c>
      <c r="B77" s="30">
        <f>OptimalFrame!B31</f>
        <v>2.0859999999999985</v>
      </c>
    </row>
    <row r="78" spans="1:2" ht="10.5">
      <c r="A78" s="28" t="s">
        <v>455</v>
      </c>
      <c r="B78" s="30">
        <f>OptimalFrame!B32</f>
        <v>16.9825</v>
      </c>
    </row>
    <row r="79" spans="1:2" ht="10.5">
      <c r="A79" s="28" t="s">
        <v>456</v>
      </c>
      <c r="B79" s="30">
        <f>OptimalFrame!B33</f>
        <v>31.879000000000005</v>
      </c>
    </row>
    <row r="80" spans="1:2" ht="10.5">
      <c r="A80" s="28" t="s">
        <v>457</v>
      </c>
      <c r="B80" s="30">
        <f>OptimalFrame!B34</f>
        <v>46.278999999999996</v>
      </c>
    </row>
    <row r="81" spans="1:2" ht="10.5">
      <c r="A81" s="28" t="s">
        <v>458</v>
      </c>
      <c r="B81" s="30">
        <f>OptimalFrame!B35</f>
        <v>60.679</v>
      </c>
    </row>
    <row r="82" spans="1:2" ht="10.5">
      <c r="A82" s="28" t="s">
        <v>459</v>
      </c>
      <c r="B82" s="30">
        <f>OptimalFrame!B36</f>
        <v>2.0859999999999985</v>
      </c>
    </row>
    <row r="83" spans="1:2" ht="10.5">
      <c r="A83" s="28" t="s">
        <v>460</v>
      </c>
      <c r="B83" s="30">
        <f>OptimalFrame!B37</f>
        <v>16.9825</v>
      </c>
    </row>
    <row r="84" spans="1:2" ht="10.5">
      <c r="A84" s="28" t="s">
        <v>461</v>
      </c>
      <c r="B84" s="30">
        <f>OptimalFrame!B38</f>
        <v>31.879000000000005</v>
      </c>
    </row>
    <row r="85" spans="1:2" ht="10.5">
      <c r="A85" s="28" t="s">
        <v>462</v>
      </c>
      <c r="B85" s="30">
        <f>OptimalFrame!B39</f>
        <v>46.278999999999996</v>
      </c>
    </row>
    <row r="86" spans="1:2" ht="10.5">
      <c r="A86" s="28" t="s">
        <v>463</v>
      </c>
      <c r="B86" s="30">
        <f>OptimalFrame!B40</f>
        <v>60.679</v>
      </c>
    </row>
    <row r="87" spans="1:2" ht="10.5">
      <c r="A87" s="28" t="s">
        <v>464</v>
      </c>
      <c r="B87" s="30">
        <f>OptimalFrame!B41</f>
        <v>2.0859999999999985</v>
      </c>
    </row>
    <row r="88" spans="1:2" ht="10.5">
      <c r="A88" s="28" t="s">
        <v>465</v>
      </c>
      <c r="B88" s="30">
        <f>OptimalFrame!B42</f>
        <v>16.9825</v>
      </c>
    </row>
    <row r="89" spans="1:2" ht="10.5">
      <c r="A89" s="28" t="s">
        <v>466</v>
      </c>
      <c r="B89" s="30">
        <f>OptimalFrame!B43</f>
        <v>31.879000000000005</v>
      </c>
    </row>
    <row r="90" spans="1:2" ht="10.5">
      <c r="A90" s="28" t="s">
        <v>467</v>
      </c>
      <c r="B90" s="30">
        <f>OptimalFrame!B44</f>
        <v>46.278999999999996</v>
      </c>
    </row>
    <row r="91" spans="1:2" ht="10.5">
      <c r="A91" s="28" t="s">
        <v>468</v>
      </c>
      <c r="B91" s="30">
        <f>OptimalFrame!B45</f>
        <v>60.679</v>
      </c>
    </row>
    <row r="92" spans="1:2" ht="10.5">
      <c r="A92" s="28" t="s">
        <v>469</v>
      </c>
      <c r="B92" s="30">
        <f>OptimalFrame!B46</f>
        <v>2.0859999999999985</v>
      </c>
    </row>
    <row r="93" spans="1:2" ht="10.5">
      <c r="A93" s="28" t="s">
        <v>470</v>
      </c>
      <c r="B93" s="30">
        <f>OptimalFrame!B47</f>
        <v>16.9825</v>
      </c>
    </row>
    <row r="94" spans="1:2" ht="10.5">
      <c r="A94" s="28" t="s">
        <v>471</v>
      </c>
      <c r="B94" s="30">
        <f>OptimalFrame!B48</f>
        <v>31.879000000000005</v>
      </c>
    </row>
    <row r="95" spans="1:2" ht="10.5">
      <c r="A95" s="28" t="s">
        <v>472</v>
      </c>
      <c r="B95" s="30">
        <f>OptimalFrame!B49</f>
        <v>46.278999999999996</v>
      </c>
    </row>
    <row r="96" spans="1:2" ht="10.5">
      <c r="A96" s="28" t="s">
        <v>473</v>
      </c>
      <c r="B96" s="30">
        <f>OptimalFrame!B50</f>
        <v>60.678</v>
      </c>
    </row>
    <row r="97" spans="1:2" ht="10.5">
      <c r="A97" s="28" t="s">
        <v>474</v>
      </c>
      <c r="B97" s="30">
        <f>OptimalFrame!B51</f>
        <v>2.0859999999999985</v>
      </c>
    </row>
    <row r="98" spans="1:2" ht="10.5">
      <c r="A98" s="28" t="s">
        <v>475</v>
      </c>
      <c r="B98" s="30">
        <f>OptimalFrame!B52</f>
        <v>16.9825</v>
      </c>
    </row>
    <row r="99" spans="1:2" ht="10.5">
      <c r="A99" s="28" t="s">
        <v>476</v>
      </c>
      <c r="B99" s="30">
        <f>OptimalFrame!B53</f>
        <v>31.879000000000005</v>
      </c>
    </row>
    <row r="100" spans="1:2" ht="10.5">
      <c r="A100" s="28" t="s">
        <v>477</v>
      </c>
      <c r="B100" s="30">
        <f>OptimalFrame!B54</f>
        <v>46.278000000000006</v>
      </c>
    </row>
    <row r="101" spans="1:2" ht="10.5">
      <c r="A101" s="28" t="s">
        <v>478</v>
      </c>
      <c r="B101" s="30">
        <f>OptimalFrame!B55</f>
        <v>60.679</v>
      </c>
    </row>
    <row r="102" spans="1:2" ht="10.5">
      <c r="A102" s="28" t="s">
        <v>480</v>
      </c>
      <c r="B102" s="30" t="str">
        <f>OptimalFrame!E4</f>
        <v>x</v>
      </c>
    </row>
    <row r="103" spans="1:2" ht="10.5">
      <c r="A103" s="28" t="s">
        <v>454</v>
      </c>
      <c r="B103" s="30">
        <f>OptimalFrame!E5</f>
        <v>-60.998</v>
      </c>
    </row>
    <row r="104" spans="1:2" ht="10.5">
      <c r="A104" s="28" t="s">
        <v>455</v>
      </c>
      <c r="B104" s="30">
        <f>OptimalFrame!E6</f>
        <v>-46.598</v>
      </c>
    </row>
    <row r="105" spans="1:2" ht="10.5">
      <c r="A105" s="28" t="s">
        <v>456</v>
      </c>
      <c r="B105" s="30">
        <f>OptimalFrame!E7</f>
        <v>-32.198</v>
      </c>
    </row>
    <row r="106" spans="1:2" ht="10.5">
      <c r="A106" s="28" t="s">
        <v>457</v>
      </c>
      <c r="B106" s="30">
        <f>OptimalFrame!E8</f>
        <v>-17.798000000000002</v>
      </c>
    </row>
    <row r="107" spans="1:2" ht="10.5">
      <c r="A107" s="28" t="s">
        <v>458</v>
      </c>
      <c r="B107" s="30">
        <f>OptimalFrame!E9</f>
        <v>-3.3980000000000032</v>
      </c>
    </row>
    <row r="108" spans="1:2" ht="10.5">
      <c r="A108" s="28" t="s">
        <v>459</v>
      </c>
      <c r="B108" s="30">
        <f>OptimalFrame!E10</f>
        <v>-60.998</v>
      </c>
    </row>
    <row r="109" spans="1:2" ht="10.5">
      <c r="A109" s="28" t="s">
        <v>460</v>
      </c>
      <c r="B109" s="30">
        <f>OptimalFrame!E11</f>
        <v>-46.598</v>
      </c>
    </row>
    <row r="110" spans="1:2" ht="10.5">
      <c r="A110" s="28" t="s">
        <v>461</v>
      </c>
      <c r="B110" s="30">
        <f>OptimalFrame!E12</f>
        <v>-32.198</v>
      </c>
    </row>
    <row r="111" spans="1:2" ht="10.5">
      <c r="A111" s="28" t="s">
        <v>462</v>
      </c>
      <c r="B111" s="30">
        <f>OptimalFrame!E13</f>
        <v>-17.798000000000002</v>
      </c>
    </row>
    <row r="112" spans="1:2" ht="10.5">
      <c r="A112" s="28" t="s">
        <v>463</v>
      </c>
      <c r="B112" s="30">
        <f>OptimalFrame!E14</f>
        <v>-3.3980000000000032</v>
      </c>
    </row>
    <row r="113" spans="1:2" ht="10.5">
      <c r="A113" s="28" t="s">
        <v>464</v>
      </c>
      <c r="B113" s="30">
        <f>OptimalFrame!E15</f>
        <v>-60.998</v>
      </c>
    </row>
    <row r="114" spans="1:2" ht="10.5">
      <c r="A114" s="28" t="s">
        <v>465</v>
      </c>
      <c r="B114" s="30">
        <f>OptimalFrame!E16</f>
        <v>-46.598</v>
      </c>
    </row>
    <row r="115" spans="1:2" ht="10.5">
      <c r="A115" s="28" t="s">
        <v>466</v>
      </c>
      <c r="B115" s="30">
        <f>OptimalFrame!E17</f>
        <v>-32.198</v>
      </c>
    </row>
    <row r="116" spans="1:2" ht="10.5">
      <c r="A116" s="28" t="s">
        <v>467</v>
      </c>
      <c r="B116" s="30">
        <f>OptimalFrame!E18</f>
        <v>-17.798000000000002</v>
      </c>
    </row>
    <row r="117" spans="1:2" ht="10.5">
      <c r="A117" s="28" t="s">
        <v>468</v>
      </c>
      <c r="B117" s="30">
        <f>OptimalFrame!E19</f>
        <v>-3.3980000000000032</v>
      </c>
    </row>
    <row r="118" spans="1:2" ht="10.5">
      <c r="A118" s="28" t="s">
        <v>469</v>
      </c>
      <c r="B118" s="30">
        <f>OptimalFrame!E20</f>
        <v>-60.998</v>
      </c>
    </row>
    <row r="119" spans="1:2" ht="10.5">
      <c r="A119" s="28" t="s">
        <v>470</v>
      </c>
      <c r="B119" s="30">
        <f>OptimalFrame!E21</f>
        <v>-46.598</v>
      </c>
    </row>
    <row r="120" spans="1:2" ht="10.5">
      <c r="A120" s="28" t="s">
        <v>471</v>
      </c>
      <c r="B120" s="30">
        <f>OptimalFrame!E22</f>
        <v>-32.198</v>
      </c>
    </row>
    <row r="121" spans="1:2" ht="10.5">
      <c r="A121" s="28" t="s">
        <v>472</v>
      </c>
      <c r="B121" s="30">
        <f>OptimalFrame!E23</f>
        <v>-17.798000000000002</v>
      </c>
    </row>
    <row r="122" spans="1:2" ht="10.5">
      <c r="A122" s="28" t="s">
        <v>473</v>
      </c>
      <c r="B122" s="30">
        <f>OptimalFrame!E24</f>
        <v>-3.3980000000000032</v>
      </c>
    </row>
    <row r="123" spans="1:2" ht="10.5">
      <c r="A123" s="28" t="s">
        <v>474</v>
      </c>
      <c r="B123" s="30">
        <f>OptimalFrame!E25</f>
        <v>-60.998</v>
      </c>
    </row>
    <row r="124" spans="1:2" ht="10.5">
      <c r="A124" s="28" t="s">
        <v>475</v>
      </c>
      <c r="B124" s="30">
        <f>OptimalFrame!E26</f>
        <v>-46.598</v>
      </c>
    </row>
    <row r="125" spans="1:2" ht="10.5">
      <c r="A125" s="28" t="s">
        <v>476</v>
      </c>
      <c r="B125" s="30">
        <f>OptimalFrame!E27</f>
        <v>-32.198</v>
      </c>
    </row>
    <row r="126" spans="1:2" ht="10.5">
      <c r="A126" s="28" t="s">
        <v>477</v>
      </c>
      <c r="B126" s="30">
        <f>OptimalFrame!E28</f>
        <v>-17.798000000000002</v>
      </c>
    </row>
    <row r="127" spans="1:2" ht="10.5">
      <c r="A127" s="28" t="s">
        <v>478</v>
      </c>
      <c r="B127" s="30">
        <f>OptimalFrame!E29</f>
        <v>-3.3980000000000032</v>
      </c>
    </row>
    <row r="128" spans="1:2" ht="10.5">
      <c r="A128" s="28" t="s">
        <v>481</v>
      </c>
      <c r="B128" s="30" t="str">
        <f>OptimalFrame!E30</f>
        <v>x</v>
      </c>
    </row>
    <row r="129" spans="1:2" ht="10.5">
      <c r="A129" s="28" t="s">
        <v>454</v>
      </c>
      <c r="B129" s="30">
        <f>OptimalFrame!E31</f>
        <v>2.117999999999995</v>
      </c>
    </row>
    <row r="130" spans="1:2" ht="10.5">
      <c r="A130" s="28" t="s">
        <v>455</v>
      </c>
      <c r="B130" s="30">
        <f>OptimalFrame!E32</f>
        <v>17.004999999999995</v>
      </c>
    </row>
    <row r="131" spans="1:2" ht="10.5">
      <c r="A131" s="28" t="s">
        <v>456</v>
      </c>
      <c r="B131" s="30">
        <f>OptimalFrame!E33</f>
        <v>31.891999999999996</v>
      </c>
    </row>
    <row r="132" spans="1:2" ht="10.5">
      <c r="A132" s="28" t="s">
        <v>457</v>
      </c>
      <c r="B132" s="30">
        <f>OptimalFrame!E34</f>
        <v>46.292</v>
      </c>
    </row>
    <row r="133" spans="1:2" ht="10.5">
      <c r="A133" s="28" t="s">
        <v>458</v>
      </c>
      <c r="B133" s="30">
        <f>OptimalFrame!E35</f>
        <v>60.69199999999999</v>
      </c>
    </row>
    <row r="134" spans="1:2" ht="10.5">
      <c r="A134" s="28" t="s">
        <v>459</v>
      </c>
      <c r="B134" s="30">
        <f>OptimalFrame!E36</f>
        <v>2.117999999999995</v>
      </c>
    </row>
    <row r="135" spans="1:2" ht="10.5">
      <c r="A135" s="28" t="s">
        <v>460</v>
      </c>
      <c r="B135" s="30">
        <f>OptimalFrame!E37</f>
        <v>17.004999999999995</v>
      </c>
    </row>
    <row r="136" spans="1:2" ht="10.5">
      <c r="A136" s="28" t="s">
        <v>461</v>
      </c>
      <c r="B136" s="30">
        <f>OptimalFrame!E38</f>
        <v>31.891999999999996</v>
      </c>
    </row>
    <row r="137" spans="1:2" ht="10.5">
      <c r="A137" s="28" t="s">
        <v>462</v>
      </c>
      <c r="B137" s="30">
        <f>OptimalFrame!E39</f>
        <v>46.292</v>
      </c>
    </row>
    <row r="138" spans="1:2" ht="10.5">
      <c r="A138" s="28" t="s">
        <v>463</v>
      </c>
      <c r="B138" s="30">
        <f>OptimalFrame!E40</f>
        <v>60.69199999999999</v>
      </c>
    </row>
    <row r="139" spans="1:2" ht="10.5">
      <c r="A139" s="28" t="s">
        <v>464</v>
      </c>
      <c r="B139" s="30">
        <f>OptimalFrame!E41</f>
        <v>2.117999999999995</v>
      </c>
    </row>
    <row r="140" spans="1:2" ht="10.5">
      <c r="A140" s="28" t="s">
        <v>465</v>
      </c>
      <c r="B140" s="30">
        <f>OptimalFrame!E42</f>
        <v>17.004999999999995</v>
      </c>
    </row>
    <row r="141" spans="1:2" ht="10.5">
      <c r="A141" s="28" t="s">
        <v>466</v>
      </c>
      <c r="B141" s="30">
        <f>OptimalFrame!E43</f>
        <v>31.891999999999996</v>
      </c>
    </row>
    <row r="142" spans="1:2" ht="10.5">
      <c r="A142" s="28" t="s">
        <v>467</v>
      </c>
      <c r="B142" s="30">
        <f>OptimalFrame!E44</f>
        <v>46.292</v>
      </c>
    </row>
    <row r="143" spans="1:2" ht="10.5">
      <c r="A143" s="28" t="s">
        <v>468</v>
      </c>
      <c r="B143" s="30">
        <f>OptimalFrame!E45</f>
        <v>60.69199999999999</v>
      </c>
    </row>
    <row r="144" spans="1:2" ht="10.5">
      <c r="A144" s="28" t="s">
        <v>469</v>
      </c>
      <c r="B144" s="30">
        <f>OptimalFrame!E46</f>
        <v>2.117999999999995</v>
      </c>
    </row>
    <row r="145" spans="1:2" ht="10.5">
      <c r="A145" s="28" t="s">
        <v>470</v>
      </c>
      <c r="B145" s="30">
        <f>OptimalFrame!E47</f>
        <v>17.004999999999995</v>
      </c>
    </row>
    <row r="146" spans="1:2" ht="10.5">
      <c r="A146" s="28" t="s">
        <v>471</v>
      </c>
      <c r="B146" s="30">
        <f>OptimalFrame!E48</f>
        <v>31.891999999999996</v>
      </c>
    </row>
    <row r="147" spans="1:2" ht="10.5">
      <c r="A147" s="28" t="s">
        <v>472</v>
      </c>
      <c r="B147" s="30">
        <f>OptimalFrame!E49</f>
        <v>46.292</v>
      </c>
    </row>
    <row r="148" spans="1:2" ht="10.5">
      <c r="A148" s="28" t="s">
        <v>473</v>
      </c>
      <c r="B148" s="30">
        <f>OptimalFrame!E50</f>
        <v>60.69199999999999</v>
      </c>
    </row>
    <row r="149" spans="1:2" ht="10.5">
      <c r="A149" s="28" t="s">
        <v>474</v>
      </c>
      <c r="B149" s="30">
        <f>OptimalFrame!E51</f>
        <v>2.117999999999995</v>
      </c>
    </row>
    <row r="150" spans="1:2" ht="10.5">
      <c r="A150" s="28" t="s">
        <v>475</v>
      </c>
      <c r="B150" s="30">
        <f>OptimalFrame!E52</f>
        <v>17.004999999999995</v>
      </c>
    </row>
    <row r="151" spans="1:2" ht="10.5">
      <c r="A151" s="28" t="s">
        <v>476</v>
      </c>
      <c r="B151" s="30">
        <f>OptimalFrame!E53</f>
        <v>31.891999999999996</v>
      </c>
    </row>
    <row r="152" spans="1:2" ht="10.5">
      <c r="A152" s="28" t="s">
        <v>477</v>
      </c>
      <c r="B152" s="30">
        <f>OptimalFrame!E54</f>
        <v>46.292</v>
      </c>
    </row>
    <row r="153" spans="1:2" ht="10.5">
      <c r="A153" s="28" t="s">
        <v>478</v>
      </c>
      <c r="B153" s="30">
        <f>OptimalFrame!E55</f>
        <v>60.691</v>
      </c>
    </row>
    <row r="154" spans="1:2" ht="10.5">
      <c r="A154" s="28" t="s">
        <v>453</v>
      </c>
      <c r="B154" s="30" t="str">
        <f>OptimalFrame!C4</f>
        <v>y</v>
      </c>
    </row>
    <row r="155" spans="1:2" ht="10.5">
      <c r="A155" s="28" t="s">
        <v>454</v>
      </c>
      <c r="B155" s="30">
        <f>OptimalFrame!C5</f>
        <v>1.2000000000000028</v>
      </c>
    </row>
    <row r="156" spans="1:2" ht="10.5">
      <c r="A156" s="28" t="s">
        <v>455</v>
      </c>
      <c r="B156" s="30">
        <f>OptimalFrame!C6</f>
        <v>1.2000000000000028</v>
      </c>
    </row>
    <row r="157" spans="1:2" ht="10.5">
      <c r="A157" s="28" t="s">
        <v>456</v>
      </c>
      <c r="B157" s="30">
        <f>OptimalFrame!C7</f>
        <v>1.2000000000000028</v>
      </c>
    </row>
    <row r="158" spans="1:2" ht="10.5">
      <c r="A158" s="28" t="s">
        <v>457</v>
      </c>
      <c r="B158" s="30">
        <f>OptimalFrame!C8</f>
        <v>1.2000000000000028</v>
      </c>
    </row>
    <row r="159" spans="1:2" ht="10.5">
      <c r="A159" s="28" t="s">
        <v>458</v>
      </c>
      <c r="B159" s="30">
        <f>OptimalFrame!C9</f>
        <v>1.2000000000000028</v>
      </c>
    </row>
    <row r="160" spans="1:2" ht="10.5">
      <c r="A160" s="28" t="s">
        <v>459</v>
      </c>
      <c r="B160" s="30">
        <f>OptimalFrame!C10</f>
        <v>16.6</v>
      </c>
    </row>
    <row r="161" spans="1:2" ht="10.5">
      <c r="A161" s="28" t="s">
        <v>460</v>
      </c>
      <c r="B161" s="30">
        <f>OptimalFrame!C11</f>
        <v>16.6</v>
      </c>
    </row>
    <row r="162" spans="1:2" ht="10.5">
      <c r="A162" s="28" t="s">
        <v>461</v>
      </c>
      <c r="B162" s="30">
        <f>OptimalFrame!C12</f>
        <v>16.6</v>
      </c>
    </row>
    <row r="163" spans="1:2" ht="10.5">
      <c r="A163" s="28" t="s">
        <v>462</v>
      </c>
      <c r="B163" s="30">
        <f>OptimalFrame!C13</f>
        <v>16.6</v>
      </c>
    </row>
    <row r="164" spans="1:2" ht="10.5">
      <c r="A164" s="28" t="s">
        <v>463</v>
      </c>
      <c r="B164" s="30">
        <f>OptimalFrame!C14</f>
        <v>16.6</v>
      </c>
    </row>
    <row r="165" spans="1:2" ht="10.5">
      <c r="A165" s="28" t="s">
        <v>464</v>
      </c>
      <c r="B165" s="30">
        <f>OptimalFrame!C15</f>
        <v>32</v>
      </c>
    </row>
    <row r="166" spans="1:2" ht="10.5">
      <c r="A166" s="28" t="s">
        <v>465</v>
      </c>
      <c r="B166" s="30">
        <f>OptimalFrame!C16</f>
        <v>32</v>
      </c>
    </row>
    <row r="167" spans="1:2" ht="10.5">
      <c r="A167" s="28" t="s">
        <v>466</v>
      </c>
      <c r="B167" s="30">
        <f>OptimalFrame!C17</f>
        <v>32</v>
      </c>
    </row>
    <row r="168" spans="1:2" ht="10.5">
      <c r="A168" s="28" t="s">
        <v>467</v>
      </c>
      <c r="B168" s="30">
        <f>OptimalFrame!C18</f>
        <v>32</v>
      </c>
    </row>
    <row r="169" spans="1:2" ht="10.5">
      <c r="A169" s="28" t="s">
        <v>468</v>
      </c>
      <c r="B169" s="30">
        <f>OptimalFrame!C19</f>
        <v>31.999</v>
      </c>
    </row>
    <row r="170" spans="1:2" ht="10.5">
      <c r="A170" s="28" t="s">
        <v>469</v>
      </c>
      <c r="B170" s="30">
        <f>OptimalFrame!C20</f>
        <v>47.4</v>
      </c>
    </row>
    <row r="171" spans="1:2" ht="10.5">
      <c r="A171" s="28" t="s">
        <v>470</v>
      </c>
      <c r="B171" s="30">
        <f>OptimalFrame!C21</f>
        <v>47.4</v>
      </c>
    </row>
    <row r="172" spans="1:2" ht="10.5">
      <c r="A172" s="28" t="s">
        <v>471</v>
      </c>
      <c r="B172" s="30">
        <f>OptimalFrame!C22</f>
        <v>47.4</v>
      </c>
    </row>
    <row r="173" spans="1:2" ht="10.5">
      <c r="A173" s="28" t="s">
        <v>472</v>
      </c>
      <c r="B173" s="30">
        <f>OptimalFrame!C23</f>
        <v>47.4</v>
      </c>
    </row>
    <row r="174" spans="1:2" ht="10.5">
      <c r="A174" s="28" t="s">
        <v>473</v>
      </c>
      <c r="B174" s="30">
        <f>OptimalFrame!C24</f>
        <v>47.4</v>
      </c>
    </row>
    <row r="175" spans="1:2" ht="10.5">
      <c r="A175" s="28" t="s">
        <v>474</v>
      </c>
      <c r="B175" s="30">
        <f>OptimalFrame!C25</f>
        <v>62.799</v>
      </c>
    </row>
    <row r="176" spans="1:2" ht="10.5">
      <c r="A176" s="28" t="s">
        <v>475</v>
      </c>
      <c r="B176" s="30">
        <f>OptimalFrame!C26</f>
        <v>62.8</v>
      </c>
    </row>
    <row r="177" spans="1:2" ht="10.5">
      <c r="A177" s="28" t="s">
        <v>476</v>
      </c>
      <c r="B177" s="30">
        <f>OptimalFrame!C27</f>
        <v>62.8</v>
      </c>
    </row>
    <row r="178" spans="1:2" ht="10.5">
      <c r="A178" s="28" t="s">
        <v>477</v>
      </c>
      <c r="B178" s="30">
        <f>OptimalFrame!C28</f>
        <v>62.8</v>
      </c>
    </row>
    <row r="179" spans="1:2" ht="10.5">
      <c r="A179" s="28" t="s">
        <v>478</v>
      </c>
      <c r="B179" s="30">
        <f>OptimalFrame!C29</f>
        <v>62.8</v>
      </c>
    </row>
    <row r="180" spans="1:2" ht="10.5">
      <c r="A180" s="28" t="s">
        <v>479</v>
      </c>
      <c r="B180" s="30" t="str">
        <f>OptimalFrame!C30</f>
        <v>y</v>
      </c>
    </row>
    <row r="181" spans="1:2" ht="10.5">
      <c r="A181" s="28" t="s">
        <v>454</v>
      </c>
      <c r="B181" s="30">
        <f>OptimalFrame!C31</f>
        <v>1.2000000000000028</v>
      </c>
    </row>
    <row r="182" spans="1:2" ht="10.5">
      <c r="A182" s="28" t="s">
        <v>455</v>
      </c>
      <c r="B182" s="30">
        <f>OptimalFrame!C32</f>
        <v>1.2000000000000028</v>
      </c>
    </row>
    <row r="183" spans="1:2" ht="10.5">
      <c r="A183" s="28" t="s">
        <v>456</v>
      </c>
      <c r="B183" s="30">
        <f>OptimalFrame!C33</f>
        <v>1.2000000000000028</v>
      </c>
    </row>
    <row r="184" spans="1:2" ht="10.5">
      <c r="A184" s="28" t="s">
        <v>457</v>
      </c>
      <c r="B184" s="30">
        <f>OptimalFrame!C34</f>
        <v>1.2000000000000028</v>
      </c>
    </row>
    <row r="185" spans="1:2" ht="10.5">
      <c r="A185" s="28" t="s">
        <v>458</v>
      </c>
      <c r="B185" s="30">
        <f>OptimalFrame!C35</f>
        <v>1.2000000000000028</v>
      </c>
    </row>
    <row r="186" spans="1:2" ht="10.5">
      <c r="A186" s="28" t="s">
        <v>459</v>
      </c>
      <c r="B186" s="30">
        <f>OptimalFrame!C36</f>
        <v>16.6</v>
      </c>
    </row>
    <row r="187" spans="1:2" ht="10.5">
      <c r="A187" s="28" t="s">
        <v>460</v>
      </c>
      <c r="B187" s="30">
        <f>OptimalFrame!C37</f>
        <v>16.5995</v>
      </c>
    </row>
    <row r="188" spans="1:2" ht="10.5">
      <c r="A188" s="28" t="s">
        <v>461</v>
      </c>
      <c r="B188" s="30">
        <f>OptimalFrame!C38</f>
        <v>16.598999999999997</v>
      </c>
    </row>
    <row r="189" spans="1:2" ht="10.5">
      <c r="A189" s="28" t="s">
        <v>462</v>
      </c>
      <c r="B189" s="30">
        <f>OptimalFrame!C39</f>
        <v>16.6</v>
      </c>
    </row>
    <row r="190" spans="1:2" ht="10.5">
      <c r="A190" s="28" t="s">
        <v>463</v>
      </c>
      <c r="B190" s="30">
        <f>OptimalFrame!C40</f>
        <v>16.6</v>
      </c>
    </row>
    <row r="191" spans="1:2" ht="10.5">
      <c r="A191" s="28" t="s">
        <v>464</v>
      </c>
      <c r="B191" s="30">
        <f>OptimalFrame!C41</f>
        <v>32</v>
      </c>
    </row>
    <row r="192" spans="1:2" ht="10.5">
      <c r="A192" s="28" t="s">
        <v>465</v>
      </c>
      <c r="B192" s="30">
        <f>OptimalFrame!C42</f>
        <v>32</v>
      </c>
    </row>
    <row r="193" spans="1:2" ht="10.5">
      <c r="A193" s="28" t="s">
        <v>466</v>
      </c>
      <c r="B193" s="30">
        <f>OptimalFrame!C43</f>
        <v>32</v>
      </c>
    </row>
    <row r="194" spans="1:2" ht="10.5">
      <c r="A194" s="28" t="s">
        <v>467</v>
      </c>
      <c r="B194" s="30">
        <f>OptimalFrame!C44</f>
        <v>32</v>
      </c>
    </row>
    <row r="195" spans="1:2" ht="10.5">
      <c r="A195" s="28" t="s">
        <v>468</v>
      </c>
      <c r="B195" s="30">
        <f>OptimalFrame!C45</f>
        <v>32</v>
      </c>
    </row>
    <row r="196" spans="1:2" ht="10.5">
      <c r="A196" s="28" t="s">
        <v>469</v>
      </c>
      <c r="B196" s="30">
        <f>OptimalFrame!C46</f>
        <v>47.4</v>
      </c>
    </row>
    <row r="197" spans="1:2" ht="10.5">
      <c r="A197" s="28" t="s">
        <v>470</v>
      </c>
      <c r="B197" s="30">
        <f>OptimalFrame!C47</f>
        <v>47.4</v>
      </c>
    </row>
    <row r="198" spans="1:2" ht="10.5">
      <c r="A198" s="28" t="s">
        <v>471</v>
      </c>
      <c r="B198" s="30">
        <f>OptimalFrame!C48</f>
        <v>47.4</v>
      </c>
    </row>
    <row r="199" spans="1:2" ht="10.5">
      <c r="A199" s="28" t="s">
        <v>472</v>
      </c>
      <c r="B199" s="30">
        <f>OptimalFrame!C49</f>
        <v>47.4</v>
      </c>
    </row>
    <row r="200" spans="1:2" ht="10.5">
      <c r="A200" s="28" t="s">
        <v>473</v>
      </c>
      <c r="B200" s="30">
        <f>OptimalFrame!C50</f>
        <v>47.4</v>
      </c>
    </row>
    <row r="201" spans="1:2" ht="10.5">
      <c r="A201" s="28" t="s">
        <v>474</v>
      </c>
      <c r="B201" s="30">
        <f>OptimalFrame!C51</f>
        <v>62.8</v>
      </c>
    </row>
    <row r="202" spans="1:2" ht="10.5">
      <c r="A202" s="28" t="s">
        <v>475</v>
      </c>
      <c r="B202" s="30">
        <f>OptimalFrame!C52</f>
        <v>62.7995</v>
      </c>
    </row>
    <row r="203" spans="1:2" ht="10.5">
      <c r="A203" s="28" t="s">
        <v>476</v>
      </c>
      <c r="B203" s="30">
        <f>OptimalFrame!C53</f>
        <v>62.799</v>
      </c>
    </row>
    <row r="204" spans="1:2" ht="10.5">
      <c r="A204" s="28" t="s">
        <v>477</v>
      </c>
      <c r="B204" s="30">
        <f>OptimalFrame!C54</f>
        <v>62.8</v>
      </c>
    </row>
    <row r="205" spans="1:2" ht="10.5">
      <c r="A205" s="28" t="s">
        <v>478</v>
      </c>
      <c r="B205" s="30">
        <f>OptimalFrame!C55</f>
        <v>62.8</v>
      </c>
    </row>
    <row r="206" spans="1:2" ht="10.5">
      <c r="A206" s="28" t="s">
        <v>480</v>
      </c>
      <c r="B206" s="30" t="str">
        <f>OptimalFrame!F4</f>
        <v>y</v>
      </c>
    </row>
    <row r="207" spans="1:2" ht="10.5">
      <c r="A207" s="28" t="s">
        <v>454</v>
      </c>
      <c r="B207" s="30">
        <f>OptimalFrame!F5</f>
        <v>-62.799</v>
      </c>
    </row>
    <row r="208" spans="1:2" ht="10.5">
      <c r="A208" s="28" t="s">
        <v>455</v>
      </c>
      <c r="B208" s="30">
        <f>OptimalFrame!F6</f>
        <v>-62.8</v>
      </c>
    </row>
    <row r="209" spans="1:2" ht="10.5">
      <c r="A209" s="28" t="s">
        <v>456</v>
      </c>
      <c r="B209" s="30">
        <f>OptimalFrame!F7</f>
        <v>-62.8</v>
      </c>
    </row>
    <row r="210" spans="1:2" ht="10.5">
      <c r="A210" s="28" t="s">
        <v>457</v>
      </c>
      <c r="B210" s="30">
        <f>OptimalFrame!F8</f>
        <v>-62.799</v>
      </c>
    </row>
    <row r="211" spans="1:2" ht="10.5">
      <c r="A211" s="28" t="s">
        <v>458</v>
      </c>
      <c r="B211" s="30">
        <f>OptimalFrame!F9</f>
        <v>-62.8</v>
      </c>
    </row>
    <row r="212" spans="1:2" ht="10.5">
      <c r="A212" s="28" t="s">
        <v>459</v>
      </c>
      <c r="B212" s="30">
        <f>OptimalFrame!F10</f>
        <v>-47.4</v>
      </c>
    </row>
    <row r="213" spans="1:2" ht="10.5">
      <c r="A213" s="28" t="s">
        <v>460</v>
      </c>
      <c r="B213" s="30">
        <f>OptimalFrame!F11</f>
        <v>-47.4</v>
      </c>
    </row>
    <row r="214" spans="1:2" ht="10.5">
      <c r="A214" s="28" t="s">
        <v>461</v>
      </c>
      <c r="B214" s="30">
        <f>OptimalFrame!F12</f>
        <v>-47.4</v>
      </c>
    </row>
    <row r="215" spans="1:2" ht="10.5">
      <c r="A215" s="28" t="s">
        <v>462</v>
      </c>
      <c r="B215" s="30">
        <f>OptimalFrame!F13</f>
        <v>-47.4</v>
      </c>
    </row>
    <row r="216" spans="1:2" ht="10.5">
      <c r="A216" s="28" t="s">
        <v>463</v>
      </c>
      <c r="B216" s="30">
        <f>OptimalFrame!F14</f>
        <v>-47.4</v>
      </c>
    </row>
    <row r="217" spans="1:2" ht="10.5">
      <c r="A217" s="28" t="s">
        <v>464</v>
      </c>
      <c r="B217" s="30">
        <f>OptimalFrame!F15</f>
        <v>-31.999</v>
      </c>
    </row>
    <row r="218" spans="1:2" ht="10.5">
      <c r="A218" s="28" t="s">
        <v>465</v>
      </c>
      <c r="B218" s="30">
        <f>OptimalFrame!F16</f>
        <v>-32</v>
      </c>
    </row>
    <row r="219" spans="1:2" ht="10.5">
      <c r="A219" s="28" t="s">
        <v>466</v>
      </c>
      <c r="B219" s="30">
        <f>OptimalFrame!F17</f>
        <v>-32</v>
      </c>
    </row>
    <row r="220" spans="1:2" ht="10.5">
      <c r="A220" s="28" t="s">
        <v>467</v>
      </c>
      <c r="B220" s="30">
        <f>OptimalFrame!F18</f>
        <v>-31.999</v>
      </c>
    </row>
    <row r="221" spans="1:2" ht="10.5">
      <c r="A221" s="28" t="s">
        <v>468</v>
      </c>
      <c r="B221" s="30">
        <f>OptimalFrame!F19</f>
        <v>-32</v>
      </c>
    </row>
    <row r="222" spans="1:2" ht="10.5">
      <c r="A222" s="28" t="s">
        <v>469</v>
      </c>
      <c r="B222" s="30">
        <f>OptimalFrame!F20</f>
        <v>-16.6</v>
      </c>
    </row>
    <row r="223" spans="1:2" ht="10.5">
      <c r="A223" s="28" t="s">
        <v>470</v>
      </c>
      <c r="B223" s="30">
        <f>OptimalFrame!F21</f>
        <v>-16.6</v>
      </c>
    </row>
    <row r="224" spans="1:2" ht="10.5">
      <c r="A224" s="28" t="s">
        <v>471</v>
      </c>
      <c r="B224" s="30">
        <f>OptimalFrame!F22</f>
        <v>-16.6</v>
      </c>
    </row>
    <row r="225" spans="1:2" ht="10.5">
      <c r="A225" s="28" t="s">
        <v>472</v>
      </c>
      <c r="B225" s="30">
        <f>OptimalFrame!F23</f>
        <v>-16.6</v>
      </c>
    </row>
    <row r="226" spans="1:2" ht="10.5">
      <c r="A226" s="28" t="s">
        <v>473</v>
      </c>
      <c r="B226" s="30">
        <f>OptimalFrame!F24</f>
        <v>-16.6</v>
      </c>
    </row>
    <row r="227" spans="1:2" ht="10.5">
      <c r="A227" s="28" t="s">
        <v>474</v>
      </c>
      <c r="B227" s="30">
        <f>OptimalFrame!F25</f>
        <v>-1.2000000000000028</v>
      </c>
    </row>
    <row r="228" spans="1:2" ht="10.5">
      <c r="A228" s="28" t="s">
        <v>475</v>
      </c>
      <c r="B228" s="30">
        <f>OptimalFrame!F26</f>
        <v>-1.2000000000000028</v>
      </c>
    </row>
    <row r="229" spans="1:2" ht="10.5">
      <c r="A229" s="28" t="s">
        <v>476</v>
      </c>
      <c r="B229" s="30">
        <f>OptimalFrame!F27</f>
        <v>-1.198999999999998</v>
      </c>
    </row>
    <row r="230" spans="1:2" ht="10.5">
      <c r="A230" s="28" t="s">
        <v>477</v>
      </c>
      <c r="B230" s="30">
        <f>OptimalFrame!F28</f>
        <v>-1.2000000000000028</v>
      </c>
    </row>
    <row r="231" spans="1:2" ht="10.5">
      <c r="A231" s="28" t="s">
        <v>478</v>
      </c>
      <c r="B231" s="30">
        <f>OptimalFrame!F29</f>
        <v>-1.2000000000000028</v>
      </c>
    </row>
    <row r="232" spans="1:2" ht="10.5">
      <c r="A232" s="28" t="s">
        <v>481</v>
      </c>
      <c r="B232" s="30" t="str">
        <f>OptimalFrame!F30</f>
        <v>y</v>
      </c>
    </row>
    <row r="233" spans="1:2" ht="10.5">
      <c r="A233" s="28" t="s">
        <v>454</v>
      </c>
      <c r="B233" s="30">
        <f>OptimalFrame!F31</f>
        <v>-62.799</v>
      </c>
    </row>
    <row r="234" spans="1:2" ht="10.5">
      <c r="A234" s="28" t="s">
        <v>455</v>
      </c>
      <c r="B234" s="30">
        <f>OptimalFrame!F32</f>
        <v>-62.798500000000004</v>
      </c>
    </row>
    <row r="235" spans="1:2" ht="10.5">
      <c r="A235" s="28" t="s">
        <v>456</v>
      </c>
      <c r="B235" s="30">
        <f>OptimalFrame!F33</f>
        <v>-62.798</v>
      </c>
    </row>
    <row r="236" spans="1:2" ht="10.5">
      <c r="A236" s="28" t="s">
        <v>457</v>
      </c>
      <c r="B236" s="30">
        <f>OptimalFrame!F34</f>
        <v>-62.798</v>
      </c>
    </row>
    <row r="237" spans="1:2" ht="10.5">
      <c r="A237" s="28" t="s">
        <v>458</v>
      </c>
      <c r="B237" s="30">
        <f>OptimalFrame!F35</f>
        <v>-62.798</v>
      </c>
    </row>
    <row r="238" spans="1:2" ht="10.5">
      <c r="A238" s="28" t="s">
        <v>459</v>
      </c>
      <c r="B238" s="30">
        <f>OptimalFrame!F36</f>
        <v>-47.399</v>
      </c>
    </row>
    <row r="239" spans="1:2" ht="10.5">
      <c r="A239" s="28" t="s">
        <v>460</v>
      </c>
      <c r="B239" s="30">
        <f>OptimalFrame!F37</f>
        <v>-47.3985</v>
      </c>
    </row>
    <row r="240" spans="1:2" ht="10.5">
      <c r="A240" s="28" t="s">
        <v>461</v>
      </c>
      <c r="B240" s="30">
        <f>OptimalFrame!F38</f>
        <v>-47.397999999999996</v>
      </c>
    </row>
    <row r="241" spans="1:2" ht="10.5">
      <c r="A241" s="28" t="s">
        <v>462</v>
      </c>
      <c r="B241" s="30">
        <f>OptimalFrame!F39</f>
        <v>-47.397999999999996</v>
      </c>
    </row>
    <row r="242" spans="1:2" ht="10.5">
      <c r="A242" s="28" t="s">
        <v>463</v>
      </c>
      <c r="B242" s="30">
        <f>OptimalFrame!F40</f>
        <v>-47.397999999999996</v>
      </c>
    </row>
    <row r="243" spans="1:2" ht="10.5">
      <c r="A243" s="28" t="s">
        <v>464</v>
      </c>
      <c r="B243" s="30">
        <f>OptimalFrame!F41</f>
        <v>-31.999</v>
      </c>
    </row>
    <row r="244" spans="1:2" ht="10.5">
      <c r="A244" s="28" t="s">
        <v>465</v>
      </c>
      <c r="B244" s="30">
        <f>OptimalFrame!F42</f>
        <v>-31.9985</v>
      </c>
    </row>
    <row r="245" spans="1:2" ht="10.5">
      <c r="A245" s="28" t="s">
        <v>466</v>
      </c>
      <c r="B245" s="30">
        <f>OptimalFrame!F43</f>
        <v>-31.998</v>
      </c>
    </row>
    <row r="246" spans="1:2" ht="10.5">
      <c r="A246" s="28" t="s">
        <v>467</v>
      </c>
      <c r="B246" s="30">
        <f>OptimalFrame!F44</f>
        <v>-31.998</v>
      </c>
    </row>
    <row r="247" spans="1:2" ht="10.5">
      <c r="A247" s="28" t="s">
        <v>468</v>
      </c>
      <c r="B247" s="30">
        <f>OptimalFrame!F45</f>
        <v>-31.998</v>
      </c>
    </row>
    <row r="248" spans="1:2" ht="10.5">
      <c r="A248" s="28" t="s">
        <v>469</v>
      </c>
      <c r="B248" s="30">
        <f>OptimalFrame!F46</f>
        <v>-16.598999999999997</v>
      </c>
    </row>
    <row r="249" spans="1:2" ht="10.5">
      <c r="A249" s="28" t="s">
        <v>470</v>
      </c>
      <c r="B249" s="30">
        <f>OptimalFrame!F47</f>
        <v>-16.598499999999998</v>
      </c>
    </row>
    <row r="250" spans="1:2" ht="10.5">
      <c r="A250" s="28" t="s">
        <v>471</v>
      </c>
      <c r="B250" s="30">
        <f>OptimalFrame!F48</f>
        <v>-16.598</v>
      </c>
    </row>
    <row r="251" spans="1:2" ht="10.5">
      <c r="A251" s="28" t="s">
        <v>472</v>
      </c>
      <c r="B251" s="30">
        <f>OptimalFrame!F49</f>
        <v>-16.598</v>
      </c>
    </row>
    <row r="252" spans="1:2" ht="10.5">
      <c r="A252" s="28" t="s">
        <v>473</v>
      </c>
      <c r="B252" s="30">
        <f>OptimalFrame!F50</f>
        <v>-16.598</v>
      </c>
    </row>
    <row r="253" spans="1:2" ht="10.5">
      <c r="A253" s="28" t="s">
        <v>474</v>
      </c>
      <c r="B253" s="30">
        <f>OptimalFrame!F51</f>
        <v>-1.198999999999998</v>
      </c>
    </row>
    <row r="254" spans="1:2" ht="10.5">
      <c r="A254" s="28" t="s">
        <v>475</v>
      </c>
      <c r="B254" s="30">
        <f>OptimalFrame!F52</f>
        <v>-1.1984999999999992</v>
      </c>
    </row>
    <row r="255" spans="1:2" ht="10.5">
      <c r="A255" s="28" t="s">
        <v>476</v>
      </c>
      <c r="B255" s="30">
        <f>OptimalFrame!F53</f>
        <v>-1.1980000000000004</v>
      </c>
    </row>
    <row r="256" spans="1:2" ht="10.5">
      <c r="A256" s="28" t="s">
        <v>477</v>
      </c>
      <c r="B256" s="30">
        <f>OptimalFrame!F54</f>
        <v>-1.1980000000000004</v>
      </c>
    </row>
    <row r="257" spans="1:2" ht="10.5">
      <c r="A257" s="28" t="s">
        <v>478</v>
      </c>
      <c r="B257" s="30">
        <f>OptimalFrame!F55</f>
        <v>-1.1980000000000004</v>
      </c>
    </row>
    <row r="258" spans="1:2" ht="10.5">
      <c r="A258" s="28" t="s">
        <v>453</v>
      </c>
      <c r="B258" s="30" t="str">
        <f>OptimalFrame!D4</f>
        <v>z</v>
      </c>
    </row>
    <row r="259" spans="1:2" ht="10.5">
      <c r="A259" s="28" t="s">
        <v>454</v>
      </c>
      <c r="B259" s="30">
        <f>OptimalFrame!D5</f>
        <v>0.030421912825193798</v>
      </c>
    </row>
    <row r="260" spans="1:2" ht="10.5">
      <c r="A260" s="28" t="s">
        <v>455</v>
      </c>
      <c r="B260" s="30">
        <f>OptimalFrame!D6</f>
        <v>0.0026829996795314504</v>
      </c>
    </row>
    <row r="261" spans="1:2" ht="10.5">
      <c r="A261" s="28" t="s">
        <v>456</v>
      </c>
      <c r="B261" s="30">
        <f>OptimalFrame!D7</f>
        <v>-0.011057006522117052</v>
      </c>
    </row>
    <row r="262" spans="1:2" ht="10.5">
      <c r="A262" s="28" t="s">
        <v>457</v>
      </c>
      <c r="B262" s="30">
        <f>OptimalFrame!D8</f>
        <v>-0.01579701272376577</v>
      </c>
    </row>
    <row r="263" spans="1:2" ht="10.5">
      <c r="A263" s="28" t="s">
        <v>458</v>
      </c>
      <c r="B263" s="30">
        <f>OptimalFrame!D9</f>
        <v>-0.011538111981400645</v>
      </c>
    </row>
    <row r="264" spans="1:2" ht="10.5">
      <c r="A264" s="28" t="s">
        <v>459</v>
      </c>
      <c r="B264" s="30">
        <f>OptimalFrame!D10</f>
        <v>0.03893193082281754</v>
      </c>
    </row>
    <row r="265" spans="1:2" ht="10.5">
      <c r="A265" s="28" t="s">
        <v>460</v>
      </c>
      <c r="B265" s="30">
        <f>OptimalFrame!D11</f>
        <v>0.015191924621168917</v>
      </c>
    </row>
    <row r="266" spans="1:2" ht="10.5">
      <c r="A266" s="28" t="s">
        <v>461</v>
      </c>
      <c r="B266" s="30">
        <f>OptimalFrame!D12</f>
        <v>-0.001546988524493531</v>
      </c>
    </row>
    <row r="267" spans="1:2" ht="10.5">
      <c r="A267" s="28" t="s">
        <v>462</v>
      </c>
      <c r="B267" s="30">
        <f>OptimalFrame!D13</f>
        <v>-0.0012869947261420212</v>
      </c>
    </row>
    <row r="268" spans="1:2" ht="10.5">
      <c r="A268" s="28" t="s">
        <v>463</v>
      </c>
      <c r="B268" s="30">
        <f>OptimalFrame!D14</f>
        <v>0.0019719060162231017</v>
      </c>
    </row>
    <row r="269" spans="1:2" ht="10.5">
      <c r="A269" s="28" t="s">
        <v>464</v>
      </c>
      <c r="B269" s="30">
        <f>OptimalFrame!D15</f>
        <v>0.03444304187642733</v>
      </c>
    </row>
    <row r="270" spans="1:2" ht="10.5">
      <c r="A270" s="28" t="s">
        <v>465</v>
      </c>
      <c r="B270" s="30">
        <f>OptimalFrame!D16</f>
        <v>0.010701942618792648</v>
      </c>
    </row>
    <row r="271" spans="1:2" ht="10.5">
      <c r="A271" s="28" t="s">
        <v>466</v>
      </c>
      <c r="B271" s="30">
        <f>OptimalFrame!D17</f>
        <v>0.0019630294731302067</v>
      </c>
    </row>
    <row r="272" spans="1:2" ht="10.5">
      <c r="A272" s="28" t="s">
        <v>467</v>
      </c>
      <c r="B272" s="30">
        <f>OptimalFrame!D18</f>
        <v>-0.002776976728518399</v>
      </c>
    </row>
    <row r="273" spans="1:2" ht="10.5">
      <c r="A273" s="28" t="s">
        <v>468</v>
      </c>
      <c r="B273" s="30">
        <f>OptimalFrame!D19</f>
        <v>0.0014829839517811472</v>
      </c>
    </row>
    <row r="274" spans="1:2" ht="10.5">
      <c r="A274" s="28" t="s">
        <v>469</v>
      </c>
      <c r="B274" s="30">
        <f>OptimalFrame!D20</f>
        <v>0.037953059874051065</v>
      </c>
    </row>
    <row r="275" spans="1:2" ht="10.5">
      <c r="A275" s="28" t="s">
        <v>470</v>
      </c>
      <c r="B275" s="30">
        <f>OptimalFrame!D21</f>
        <v>0.012211960616416273</v>
      </c>
    </row>
    <row r="276" spans="1:2" ht="10.5">
      <c r="A276" s="28" t="s">
        <v>471</v>
      </c>
      <c r="B276" s="30">
        <f>OptimalFrame!D22</f>
        <v>0.0054730474707539445</v>
      </c>
    </row>
    <row r="277" spans="1:2" ht="10.5">
      <c r="A277" s="28" t="s">
        <v>472</v>
      </c>
      <c r="B277" s="30">
        <f>OptimalFrame!D23</f>
        <v>0.0037330412691052306</v>
      </c>
    </row>
    <row r="278" spans="1:2" ht="10.5">
      <c r="A278" s="28" t="s">
        <v>473</v>
      </c>
      <c r="B278" s="30">
        <f>OptimalFrame!D24</f>
        <v>-0.004006964932543378</v>
      </c>
    </row>
    <row r="279" spans="1:2" ht="10.5">
      <c r="A279" s="28" t="s">
        <v>474</v>
      </c>
      <c r="B279" s="30">
        <f>OptimalFrame!D25</f>
        <v>0.026461951697636765</v>
      </c>
    </row>
    <row r="280" spans="1:2" ht="10.5">
      <c r="A280" s="28" t="s">
        <v>475</v>
      </c>
      <c r="B280" s="30">
        <f>OptimalFrame!D26</f>
        <v>0.003723071670026168</v>
      </c>
    </row>
    <row r="281" spans="1:2" ht="10.5">
      <c r="A281" s="28" t="s">
        <v>476</v>
      </c>
      <c r="B281" s="30">
        <f>OptimalFrame!D27</f>
        <v>-0.005018027587608609</v>
      </c>
    </row>
    <row r="282" spans="1:2" ht="10.5">
      <c r="A282" s="28" t="s">
        <v>477</v>
      </c>
      <c r="B282" s="30">
        <f>OptimalFrame!D28</f>
        <v>-0.003758033789257209</v>
      </c>
    </row>
    <row r="283" spans="1:2" ht="12" customHeight="1">
      <c r="A283" s="28" t="s">
        <v>478</v>
      </c>
      <c r="B283" s="30">
        <f>OptimalFrame!D29</f>
        <v>-0.0024980399909059203</v>
      </c>
    </row>
    <row r="284" spans="1:2" ht="12" customHeight="1">
      <c r="A284" s="28" t="s">
        <v>479</v>
      </c>
      <c r="B284" s="30" t="str">
        <f>OptimalFrame!D30</f>
        <v>z</v>
      </c>
    </row>
    <row r="285" spans="1:2" ht="10.5">
      <c r="A285" s="28" t="s">
        <v>454</v>
      </c>
      <c r="B285" s="30">
        <f>OptimalFrame!D31</f>
        <v>0.0047895857996551605</v>
      </c>
    </row>
    <row r="286" spans="1:2" ht="10.5">
      <c r="A286" s="28" t="s">
        <v>455</v>
      </c>
      <c r="B286" s="30">
        <f>OptimalFrame!D32</f>
        <v>0.0015482859186767284</v>
      </c>
    </row>
    <row r="287" spans="1:2" ht="10.5">
      <c r="A287" s="28" t="s">
        <v>456</v>
      </c>
      <c r="B287" s="30">
        <f>OptimalFrame!D33</f>
        <v>-0.0016930139623017038</v>
      </c>
    </row>
    <row r="288" spans="1:2" ht="10.5">
      <c r="A288" s="28" t="s">
        <v>457</v>
      </c>
      <c r="B288" s="30">
        <f>OptimalFrame!D34</f>
        <v>0.009523733710904203</v>
      </c>
    </row>
    <row r="289" spans="1:2" ht="10.5">
      <c r="A289" s="28" t="s">
        <v>458</v>
      </c>
      <c r="B289" s="30">
        <f>OptimalFrame!D35</f>
        <v>0.030740481384110008</v>
      </c>
    </row>
    <row r="290" spans="1:2" ht="10.5">
      <c r="A290" s="28" t="s">
        <v>459</v>
      </c>
      <c r="B290" s="30">
        <f>OptimalFrame!D36</f>
        <v>0.0059845890816278</v>
      </c>
    </row>
    <row r="291" spans="1:2" ht="10.5">
      <c r="A291" s="28" t="s">
        <v>460</v>
      </c>
      <c r="B291" s="30">
        <f>OptimalFrame!D37</f>
        <v>0.0027432179343089835</v>
      </c>
    </row>
    <row r="292" spans="1:2" ht="10.5">
      <c r="A292" s="28" t="s">
        <v>461</v>
      </c>
      <c r="B292" s="30">
        <f>OptimalFrame!D38</f>
        <v>-0.0004981532130097222</v>
      </c>
    </row>
    <row r="293" spans="1:2" ht="10.5">
      <c r="A293" s="28" t="s">
        <v>462</v>
      </c>
      <c r="B293" s="30">
        <f>OptimalFrame!D39</f>
        <v>0.009718736992876731</v>
      </c>
    </row>
    <row r="294" spans="1:2" ht="10.5">
      <c r="A294" s="28" t="s">
        <v>463</v>
      </c>
      <c r="B294" s="30">
        <f>OptimalFrame!D40</f>
        <v>0.029935484666082535</v>
      </c>
    </row>
    <row r="295" spans="1:2" ht="10.5">
      <c r="A295" s="28" t="s">
        <v>464</v>
      </c>
      <c r="B295" s="30">
        <f>OptimalFrame!D41</f>
        <v>0.005179592363600327</v>
      </c>
    </row>
    <row r="296" spans="1:2" ht="10.5">
      <c r="A296" s="28" t="s">
        <v>465</v>
      </c>
      <c r="B296" s="30">
        <f>OptimalFrame!D42</f>
        <v>0.003438292482621841</v>
      </c>
    </row>
    <row r="297" spans="1:2" ht="10.5">
      <c r="A297" s="28" t="s">
        <v>466</v>
      </c>
      <c r="B297" s="30">
        <f>OptimalFrame!D43</f>
        <v>0.0016969926016434655</v>
      </c>
    </row>
    <row r="298" spans="1:2" ht="10.5">
      <c r="A298" s="28" t="s">
        <v>467</v>
      </c>
      <c r="B298" s="30">
        <f>OptimalFrame!D44</f>
        <v>0.003913740274849253</v>
      </c>
    </row>
    <row r="299" spans="1:2" ht="10.5">
      <c r="A299" s="28" t="s">
        <v>468</v>
      </c>
      <c r="B299" s="30">
        <f>OptimalFrame!D45</f>
        <v>0.02613048794805517</v>
      </c>
    </row>
    <row r="300" spans="1:2" ht="10.5">
      <c r="A300" s="28" t="s">
        <v>469</v>
      </c>
      <c r="B300" s="30">
        <f>OptimalFrame!D46</f>
        <v>0.012374595645572861</v>
      </c>
    </row>
    <row r="301" spans="1:2" ht="10.5">
      <c r="A301" s="28" t="s">
        <v>470</v>
      </c>
      <c r="B301" s="30">
        <f>OptimalFrame!D47</f>
        <v>0.008133295764594428</v>
      </c>
    </row>
    <row r="302" spans="1:2" ht="10.5">
      <c r="A302" s="28" t="s">
        <v>471</v>
      </c>
      <c r="B302" s="30">
        <f>OptimalFrame!D48</f>
        <v>0.003891995883615995</v>
      </c>
    </row>
    <row r="303" spans="1:2" ht="10.5">
      <c r="A303" s="28" t="s">
        <v>472</v>
      </c>
      <c r="B303" s="30">
        <f>OptimalFrame!D49</f>
        <v>0.009108743556821786</v>
      </c>
    </row>
    <row r="304" spans="1:2" ht="10.5">
      <c r="A304" s="28" t="s">
        <v>473</v>
      </c>
      <c r="B304" s="30">
        <f>OptimalFrame!D50</f>
        <v>0.032325406733661466</v>
      </c>
    </row>
    <row r="305" spans="1:2" ht="10.5">
      <c r="A305" s="28" t="s">
        <v>474</v>
      </c>
      <c r="B305" s="30">
        <f>OptimalFrame!D51</f>
        <v>0.010569598927545387</v>
      </c>
    </row>
    <row r="306" spans="1:2" ht="10.5">
      <c r="A306" s="28" t="s">
        <v>475</v>
      </c>
      <c r="B306" s="30">
        <f>OptimalFrame!D52</f>
        <v>0.0018282277802266211</v>
      </c>
    </row>
    <row r="307" spans="1:2" ht="10.5">
      <c r="A307" s="28" t="s">
        <v>476</v>
      </c>
      <c r="B307" s="30">
        <f>OptimalFrame!D53</f>
        <v>-0.006913143367092034</v>
      </c>
    </row>
    <row r="308" spans="1:2" ht="10.5">
      <c r="A308" s="28" t="s">
        <v>477</v>
      </c>
      <c r="B308" s="30">
        <f>OptimalFrame!D54</f>
        <v>-0.0016963376575718225</v>
      </c>
    </row>
    <row r="309" spans="1:2" ht="10.5">
      <c r="A309" s="28" t="s">
        <v>478</v>
      </c>
      <c r="B309" s="30">
        <f>OptimalFrame!D55</f>
        <v>0.013520494512000214</v>
      </c>
    </row>
    <row r="310" spans="1:2" ht="10.5">
      <c r="A310" s="28" t="s">
        <v>480</v>
      </c>
      <c r="B310" s="30" t="str">
        <f>OptimalFrame!G4</f>
        <v>z</v>
      </c>
    </row>
    <row r="311" spans="1:2" ht="10.5">
      <c r="A311" s="28" t="s">
        <v>454</v>
      </c>
      <c r="B311" s="30">
        <f>OptimalFrame!G5</f>
        <v>-0.026782035760873346</v>
      </c>
    </row>
    <row r="312" spans="1:2" ht="10.5">
      <c r="A312" s="28" t="s">
        <v>455</v>
      </c>
      <c r="B312" s="30">
        <f>OptimalFrame!G6</f>
        <v>0.0014779249194262212</v>
      </c>
    </row>
    <row r="313" spans="1:2" ht="10.5">
      <c r="A313" s="28" t="s">
        <v>456</v>
      </c>
      <c r="B313" s="30">
        <f>OptimalFrame!G7</f>
        <v>0.015737918717777633</v>
      </c>
    </row>
    <row r="314" spans="1:2" ht="10.5">
      <c r="A314" s="28" t="s">
        <v>457</v>
      </c>
      <c r="B314" s="30">
        <f>OptimalFrame!G8</f>
        <v>0.015997945634180666</v>
      </c>
    </row>
    <row r="315" spans="1:2" ht="10.5">
      <c r="A315" s="28" t="s">
        <v>458</v>
      </c>
      <c r="B315" s="30">
        <f>OptimalFrame!G9</f>
        <v>0.0062579063144804215</v>
      </c>
    </row>
    <row r="316" spans="1:2" ht="10.5">
      <c r="A316" s="28" t="s">
        <v>459</v>
      </c>
      <c r="B316" s="30">
        <f>OptimalFrame!G10</f>
        <v>-0.045272050881301484</v>
      </c>
    </row>
    <row r="317" spans="1:2" ht="10.5">
      <c r="A317" s="28" t="s">
        <v>460</v>
      </c>
      <c r="B317" s="30">
        <f>OptimalFrame!G11</f>
        <v>-0.013012057082950168</v>
      </c>
    </row>
    <row r="318" spans="1:2" ht="10.5">
      <c r="A318" s="28" t="s">
        <v>461</v>
      </c>
      <c r="B318" s="30">
        <f>OptimalFrame!G12</f>
        <v>-0.0007520632845986475</v>
      </c>
    </row>
    <row r="319" spans="1:2" ht="10.5">
      <c r="A319" s="28" t="s">
        <v>462</v>
      </c>
      <c r="B319" s="30">
        <f>OptimalFrame!G13</f>
        <v>-0.0014920694862472494</v>
      </c>
    </row>
    <row r="320" spans="1:2" ht="10.5">
      <c r="A320" s="28" t="s">
        <v>463</v>
      </c>
      <c r="B320" s="30">
        <f>OptimalFrame!G14</f>
        <v>-0.008232075687895857</v>
      </c>
    </row>
    <row r="321" spans="1:2" ht="10.5">
      <c r="A321" s="28" t="s">
        <v>464</v>
      </c>
      <c r="B321" s="30">
        <f>OptimalFrame!G15</f>
        <v>-0.036761999765626</v>
      </c>
    </row>
    <row r="322" spans="1:2" ht="10.5">
      <c r="A322" s="28" t="s">
        <v>465</v>
      </c>
      <c r="B322" s="30">
        <f>OptimalFrame!G16</f>
        <v>-0.012502039085326433</v>
      </c>
    </row>
    <row r="323" spans="1:2" ht="10.5">
      <c r="A323" s="28" t="s">
        <v>466</v>
      </c>
      <c r="B323" s="30">
        <f>OptimalFrame!G17</f>
        <v>0.0017579547130249784</v>
      </c>
    </row>
    <row r="324" spans="1:2" ht="10.5">
      <c r="A324" s="28" t="s">
        <v>467</v>
      </c>
      <c r="B324" s="30">
        <f>OptimalFrame!G18</f>
        <v>0.006017981629428237</v>
      </c>
    </row>
    <row r="325" spans="1:2" ht="10.5">
      <c r="A325" s="28" t="s">
        <v>468</v>
      </c>
      <c r="B325" s="30">
        <f>OptimalFrame!G19</f>
        <v>-0.0027220576902723392</v>
      </c>
    </row>
    <row r="326" spans="1:2" ht="10.5">
      <c r="A326" s="28" t="s">
        <v>469</v>
      </c>
      <c r="B326" s="30">
        <f>OptimalFrame!G20</f>
        <v>-0.033252014886054115</v>
      </c>
    </row>
    <row r="327" spans="1:2" ht="10.5">
      <c r="A327" s="28" t="s">
        <v>470</v>
      </c>
      <c r="B327" s="30">
        <f>OptimalFrame!G21</f>
        <v>-0.010992021087702808</v>
      </c>
    </row>
    <row r="328" spans="1:2" ht="10.5">
      <c r="A328" s="28" t="s">
        <v>471</v>
      </c>
      <c r="B328" s="30">
        <f>OptimalFrame!G22</f>
        <v>0.00026797271064860073</v>
      </c>
    </row>
    <row r="329" spans="1:2" ht="10.5">
      <c r="A329" s="28" t="s">
        <v>472</v>
      </c>
      <c r="B329" s="30">
        <f>OptimalFrame!G23</f>
        <v>0.006527966509000116</v>
      </c>
    </row>
    <row r="330" spans="1:2" ht="10.5">
      <c r="A330" s="28" t="s">
        <v>473</v>
      </c>
      <c r="B330" s="30">
        <f>OptimalFrame!G24</f>
        <v>-0.004212039692648717</v>
      </c>
    </row>
    <row r="331" spans="1:2" ht="10.5">
      <c r="A331" s="28" t="s">
        <v>474</v>
      </c>
      <c r="B331" s="30">
        <f>OptimalFrame!G25</f>
        <v>-0.036741996888430495</v>
      </c>
    </row>
    <row r="332" spans="1:2" ht="10.5">
      <c r="A332" s="28" t="s">
        <v>475</v>
      </c>
      <c r="B332" s="30">
        <f>OptimalFrame!G26</f>
        <v>-0.00748200309007907</v>
      </c>
    </row>
    <row r="333" spans="1:2" ht="10.5">
      <c r="A333" s="28" t="s">
        <v>476</v>
      </c>
      <c r="B333" s="30">
        <f>OptimalFrame!G27</f>
        <v>0.003778023826324195</v>
      </c>
    </row>
    <row r="334" spans="1:2" ht="10.5">
      <c r="A334" s="28" t="s">
        <v>477</v>
      </c>
      <c r="B334" s="30">
        <f>OptimalFrame!G28</f>
        <v>0.00803798450662363</v>
      </c>
    </row>
    <row r="335" spans="1:2" ht="10.5">
      <c r="A335" s="28" t="s">
        <v>478</v>
      </c>
      <c r="B335" s="30">
        <f>OptimalFrame!G29</f>
        <v>0.006297978304975138</v>
      </c>
    </row>
    <row r="336" spans="1:2" ht="10.5">
      <c r="A336" s="28" t="s">
        <v>481</v>
      </c>
      <c r="B336" s="30" t="str">
        <f>OptimalFrame!G30</f>
        <v>z</v>
      </c>
    </row>
    <row r="337" spans="1:2" ht="10.5">
      <c r="A337" s="28" t="s">
        <v>454</v>
      </c>
      <c r="B337" s="30">
        <f>OptimalFrame!G31</f>
        <v>-0.008412992678723419</v>
      </c>
    </row>
    <row r="338" spans="1:2" ht="10.5">
      <c r="A338" s="28" t="s">
        <v>455</v>
      </c>
      <c r="B338" s="30">
        <f>OptimalFrame!G32</f>
        <v>-0.0006550240088404324</v>
      </c>
    </row>
    <row r="339" spans="1:2" ht="10.5">
      <c r="A339" s="28" t="s">
        <v>456</v>
      </c>
      <c r="B339" s="30">
        <f>OptimalFrame!G33</f>
        <v>0.007102944661042554</v>
      </c>
    </row>
    <row r="340" spans="1:2" ht="10.5">
      <c r="A340" s="28" t="s">
        <v>457</v>
      </c>
      <c r="B340" s="30">
        <f>OptimalFrame!G34</f>
        <v>0.0003196923342484448</v>
      </c>
    </row>
    <row r="341" spans="1:2" ht="10.5">
      <c r="A341" s="28" t="s">
        <v>458</v>
      </c>
      <c r="B341" s="30">
        <f>OptimalFrame!G35</f>
        <v>-0.019463559992545676</v>
      </c>
    </row>
    <row r="342" spans="1:2" ht="10.5">
      <c r="A342" s="28" t="s">
        <v>459</v>
      </c>
      <c r="B342" s="30">
        <f>OptimalFrame!G36</f>
        <v>-0.009217989396750892</v>
      </c>
    </row>
    <row r="343" spans="1:2" ht="10.5">
      <c r="A343" s="28" t="s">
        <v>460</v>
      </c>
      <c r="B343" s="30">
        <f>OptimalFrame!G37</f>
        <v>-0.007960020726867967</v>
      </c>
    </row>
    <row r="344" spans="1:2" ht="10.5">
      <c r="A344" s="28" t="s">
        <v>461</v>
      </c>
      <c r="B344" s="30">
        <f>OptimalFrame!G38</f>
        <v>-0.006702052056984931</v>
      </c>
    </row>
    <row r="345" spans="1:2" ht="10.5">
      <c r="A345" s="28" t="s">
        <v>462</v>
      </c>
      <c r="B345" s="30">
        <f>OptimalFrame!G39</f>
        <v>-0.018485304383779044</v>
      </c>
    </row>
    <row r="346" spans="1:2" ht="10.5">
      <c r="A346" s="28" t="s">
        <v>463</v>
      </c>
      <c r="B346" s="30">
        <f>OptimalFrame!G40</f>
        <v>-0.038268556710573165</v>
      </c>
    </row>
    <row r="347" spans="1:2" ht="10.5">
      <c r="A347" s="28" t="s">
        <v>464</v>
      </c>
      <c r="B347" s="30">
        <f>OptimalFrame!G41</f>
        <v>-0.008022986114778363</v>
      </c>
    </row>
    <row r="348" spans="1:2" ht="10.5">
      <c r="A348" s="28" t="s">
        <v>465</v>
      </c>
      <c r="B348" s="30">
        <f>OptimalFrame!G42</f>
        <v>-0.004765017444895325</v>
      </c>
    </row>
    <row r="349" spans="1:2" ht="10.5">
      <c r="A349" s="28" t="s">
        <v>466</v>
      </c>
      <c r="B349" s="30">
        <f>OptimalFrame!G43</f>
        <v>-0.0015070487750122874</v>
      </c>
    </row>
    <row r="350" spans="1:2" ht="10.5">
      <c r="A350" s="28" t="s">
        <v>467</v>
      </c>
      <c r="B350" s="30">
        <f>OptimalFrame!G44</f>
        <v>-0.008290301101806397</v>
      </c>
    </row>
    <row r="351" spans="1:2" ht="10.5">
      <c r="A351" s="28" t="s">
        <v>468</v>
      </c>
      <c r="B351" s="30">
        <f>OptimalFrame!G45</f>
        <v>-0.029073553428600518</v>
      </c>
    </row>
    <row r="352" spans="1:2" ht="10.5">
      <c r="A352" s="28" t="s">
        <v>469</v>
      </c>
      <c r="B352" s="30">
        <f>OptimalFrame!G46</f>
        <v>-0.005827982832805723</v>
      </c>
    </row>
    <row r="353" spans="1:2" ht="10.5">
      <c r="A353" s="28" t="s">
        <v>470</v>
      </c>
      <c r="B353" s="30">
        <f>OptimalFrame!G47</f>
        <v>-0.0040700141629227415</v>
      </c>
    </row>
    <row r="354" spans="1:2" ht="10.5">
      <c r="A354" s="28" t="s">
        <v>471</v>
      </c>
      <c r="B354" s="30">
        <f>OptimalFrame!G48</f>
        <v>-0.0023120454930397605</v>
      </c>
    </row>
    <row r="355" spans="1:2" ht="10.5">
      <c r="A355" s="28" t="s">
        <v>472</v>
      </c>
      <c r="B355" s="30">
        <f>OptimalFrame!G49</f>
        <v>-0.006095297819833756</v>
      </c>
    </row>
    <row r="356" spans="1:2" ht="10.5">
      <c r="A356" s="28" t="s">
        <v>473</v>
      </c>
      <c r="B356" s="30">
        <f>OptimalFrame!G50</f>
        <v>-0.021878550146627984</v>
      </c>
    </row>
    <row r="357" spans="1:2" ht="10.5">
      <c r="A357" s="28" t="s">
        <v>474</v>
      </c>
      <c r="B357" s="30">
        <f>OptimalFrame!G51</f>
        <v>-0.003632979550833193</v>
      </c>
    </row>
    <row r="358" spans="1:2" ht="10.5">
      <c r="A358" s="28" t="s">
        <v>475</v>
      </c>
      <c r="B358" s="30">
        <f>OptimalFrame!G52</f>
        <v>-0.0003750108809500441</v>
      </c>
    </row>
    <row r="359" spans="1:2" ht="10.5">
      <c r="A359" s="28" t="s">
        <v>476</v>
      </c>
      <c r="B359" s="30">
        <f>OptimalFrame!G53</f>
        <v>0.002882957788932994</v>
      </c>
    </row>
    <row r="360" spans="1:2" ht="10.5">
      <c r="A360" s="28" t="s">
        <v>477</v>
      </c>
      <c r="B360" s="30">
        <f>OptimalFrame!G54</f>
        <v>-0.004900294537861449</v>
      </c>
    </row>
    <row r="361" spans="1:2" ht="10.5">
      <c r="A361" s="28" t="s">
        <v>478</v>
      </c>
      <c r="B361" s="30">
        <f>OptimalFrame!G55</f>
        <v>-0.016683631361021578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orientation="portrait" paperSize="9" r:id="rId1"/>
  <headerFooter alignWithMargins="0"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:G82"/>
    </sheetView>
  </sheetViews>
  <sheetFormatPr defaultColWidth="9.140625" defaultRowHeight="12"/>
  <sheetData>
    <row r="1" spans="1:5" ht="10.5">
      <c r="A1" t="s">
        <v>482</v>
      </c>
      <c r="B1" t="s">
        <v>516</v>
      </c>
      <c r="C1" t="s">
        <v>535</v>
      </c>
      <c r="D1" t="s">
        <v>536</v>
      </c>
      <c r="E1" t="s">
        <v>537</v>
      </c>
    </row>
    <row r="2" spans="1:7" ht="10.5">
      <c r="A2" t="s">
        <v>483</v>
      </c>
      <c r="B2" t="s">
        <v>517</v>
      </c>
      <c r="C2" t="s">
        <v>518</v>
      </c>
      <c r="D2" t="s">
        <v>484</v>
      </c>
      <c r="E2" t="s">
        <v>485</v>
      </c>
      <c r="F2" t="s">
        <v>486</v>
      </c>
      <c r="G2" t="s">
        <v>487</v>
      </c>
    </row>
    <row r="3" spans="1:7" ht="10.5">
      <c r="A3" t="s">
        <v>488</v>
      </c>
      <c r="B3" t="s">
        <v>519</v>
      </c>
      <c r="C3" t="s">
        <v>520</v>
      </c>
      <c r="D3" t="s">
        <v>534</v>
      </c>
      <c r="E3" t="s">
        <v>489</v>
      </c>
      <c r="F3" t="s">
        <v>490</v>
      </c>
      <c r="G3" t="s">
        <v>489</v>
      </c>
    </row>
    <row r="4" spans="1:5" ht="10.5">
      <c r="A4">
        <v>1</v>
      </c>
      <c r="B4" t="s">
        <v>491</v>
      </c>
      <c r="C4">
        <v>-0.003</v>
      </c>
      <c r="D4">
        <v>-0.003</v>
      </c>
      <c r="E4">
        <v>-0.001</v>
      </c>
    </row>
    <row r="5" spans="1:7" ht="10.5">
      <c r="A5">
        <v>2</v>
      </c>
      <c r="B5" t="s">
        <v>492</v>
      </c>
      <c r="E5">
        <v>0</v>
      </c>
      <c r="G5">
        <v>1</v>
      </c>
    </row>
    <row r="6" spans="1:6" ht="10.5">
      <c r="A6">
        <v>3</v>
      </c>
      <c r="B6" t="s">
        <v>493</v>
      </c>
      <c r="C6">
        <v>0.001</v>
      </c>
      <c r="D6">
        <v>0.001</v>
      </c>
      <c r="E6">
        <v>0</v>
      </c>
      <c r="F6">
        <v>0.017</v>
      </c>
    </row>
    <row r="7" spans="1:7" ht="10.5">
      <c r="A7">
        <v>4</v>
      </c>
      <c r="B7" t="s">
        <v>492</v>
      </c>
      <c r="C7">
        <v>0</v>
      </c>
      <c r="D7">
        <v>0</v>
      </c>
      <c r="G7">
        <v>3</v>
      </c>
    </row>
    <row r="8" spans="1:5" ht="10.5">
      <c r="A8">
        <v>5</v>
      </c>
      <c r="B8" t="s">
        <v>491</v>
      </c>
      <c r="C8">
        <v>127.589</v>
      </c>
      <c r="D8">
        <v>0.004</v>
      </c>
      <c r="E8">
        <v>0.069</v>
      </c>
    </row>
    <row r="9" spans="1:7" ht="10.5">
      <c r="A9">
        <v>6</v>
      </c>
      <c r="B9" t="s">
        <v>492</v>
      </c>
      <c r="E9">
        <v>0</v>
      </c>
      <c r="G9">
        <v>5</v>
      </c>
    </row>
    <row r="10" spans="1:6" ht="10.5">
      <c r="A10">
        <v>7</v>
      </c>
      <c r="B10" t="s">
        <v>493</v>
      </c>
      <c r="C10">
        <v>127.588</v>
      </c>
      <c r="D10">
        <v>-0.002</v>
      </c>
      <c r="E10">
        <v>0</v>
      </c>
      <c r="F10">
        <v>0.017</v>
      </c>
    </row>
    <row r="11" spans="1:7" ht="10.5">
      <c r="A11">
        <v>8</v>
      </c>
      <c r="B11" t="s">
        <v>494</v>
      </c>
      <c r="D11">
        <v>0</v>
      </c>
      <c r="G11">
        <v>7</v>
      </c>
    </row>
    <row r="12" spans="1:6" ht="10.5">
      <c r="A12">
        <v>9</v>
      </c>
      <c r="B12" t="s">
        <v>495</v>
      </c>
      <c r="C12">
        <v>75.035</v>
      </c>
      <c r="D12">
        <v>23.46</v>
      </c>
      <c r="E12">
        <v>-1.002</v>
      </c>
      <c r="F12">
        <v>89.992</v>
      </c>
    </row>
    <row r="13" spans="1:7" ht="10.5">
      <c r="A13">
        <v>10</v>
      </c>
      <c r="B13" t="s">
        <v>496</v>
      </c>
      <c r="E13">
        <v>0</v>
      </c>
      <c r="G13">
        <v>9</v>
      </c>
    </row>
    <row r="14" spans="1:5" ht="10.5">
      <c r="A14">
        <v>11</v>
      </c>
      <c r="B14" t="s">
        <v>491</v>
      </c>
      <c r="C14">
        <v>3.002</v>
      </c>
      <c r="D14">
        <v>0.701</v>
      </c>
      <c r="E14">
        <v>0.927</v>
      </c>
    </row>
    <row r="15" spans="1:5" ht="10.5">
      <c r="A15">
        <v>12</v>
      </c>
      <c r="B15" t="s">
        <v>491</v>
      </c>
      <c r="C15">
        <v>17.402</v>
      </c>
      <c r="D15">
        <v>0.7</v>
      </c>
      <c r="E15">
        <v>0.971</v>
      </c>
    </row>
    <row r="16" spans="1:5" ht="10.5">
      <c r="A16">
        <v>13</v>
      </c>
      <c r="B16" t="s">
        <v>491</v>
      </c>
      <c r="C16">
        <v>31.802</v>
      </c>
      <c r="D16">
        <v>0.7</v>
      </c>
      <c r="E16">
        <v>1.001</v>
      </c>
    </row>
    <row r="17" spans="1:5" ht="10.5">
      <c r="A17">
        <v>14</v>
      </c>
      <c r="B17" t="s">
        <v>491</v>
      </c>
      <c r="C17">
        <v>46.202</v>
      </c>
      <c r="D17">
        <v>0.701</v>
      </c>
      <c r="E17">
        <v>1.017</v>
      </c>
    </row>
    <row r="18" spans="1:5" ht="10.5">
      <c r="A18">
        <v>15</v>
      </c>
      <c r="B18" t="s">
        <v>491</v>
      </c>
      <c r="C18">
        <v>60.602</v>
      </c>
      <c r="D18">
        <v>0.7</v>
      </c>
      <c r="E18">
        <v>1.023</v>
      </c>
    </row>
    <row r="19" spans="1:5" ht="10.5">
      <c r="A19">
        <v>16</v>
      </c>
      <c r="B19" t="s">
        <v>491</v>
      </c>
      <c r="C19">
        <v>66.118</v>
      </c>
      <c r="D19">
        <v>0.701</v>
      </c>
      <c r="E19">
        <v>1.018</v>
      </c>
    </row>
    <row r="20" spans="1:5" ht="10.5">
      <c r="A20">
        <v>17</v>
      </c>
      <c r="B20" t="s">
        <v>491</v>
      </c>
      <c r="C20">
        <v>95.892</v>
      </c>
      <c r="D20">
        <v>0.702</v>
      </c>
      <c r="E20">
        <v>1.031</v>
      </c>
    </row>
    <row r="21" spans="1:5" ht="10.5">
      <c r="A21">
        <v>18</v>
      </c>
      <c r="B21" t="s">
        <v>491</v>
      </c>
      <c r="C21">
        <v>110.292</v>
      </c>
      <c r="D21">
        <v>0.702</v>
      </c>
      <c r="E21">
        <v>1.023</v>
      </c>
    </row>
    <row r="22" spans="1:5" ht="10.5">
      <c r="A22">
        <v>19</v>
      </c>
      <c r="B22" t="s">
        <v>491</v>
      </c>
      <c r="C22">
        <v>124.692</v>
      </c>
      <c r="D22">
        <v>0.702</v>
      </c>
      <c r="E22">
        <v>1.002</v>
      </c>
    </row>
    <row r="23" spans="1:5" ht="10.5">
      <c r="A23">
        <v>20</v>
      </c>
      <c r="B23" t="s">
        <v>491</v>
      </c>
      <c r="C23">
        <v>3.002</v>
      </c>
      <c r="D23">
        <v>16.1</v>
      </c>
      <c r="E23">
        <v>0.908</v>
      </c>
    </row>
    <row r="24" spans="1:5" ht="10.5">
      <c r="A24">
        <v>21</v>
      </c>
      <c r="B24" t="s">
        <v>491</v>
      </c>
      <c r="C24">
        <v>17.402</v>
      </c>
      <c r="D24">
        <v>16.1</v>
      </c>
      <c r="E24">
        <v>0.956</v>
      </c>
    </row>
    <row r="25" spans="1:5" ht="10.5">
      <c r="A25">
        <v>22</v>
      </c>
      <c r="B25" t="s">
        <v>491</v>
      </c>
      <c r="C25">
        <v>31.802</v>
      </c>
      <c r="D25">
        <v>16.1</v>
      </c>
      <c r="E25">
        <v>0.984</v>
      </c>
    </row>
    <row r="26" spans="1:5" ht="10.5">
      <c r="A26">
        <v>23</v>
      </c>
      <c r="B26" t="s">
        <v>491</v>
      </c>
      <c r="C26">
        <v>46.202</v>
      </c>
      <c r="D26">
        <v>16.1</v>
      </c>
      <c r="E26">
        <v>0.999</v>
      </c>
    </row>
    <row r="27" spans="1:5" ht="10.5">
      <c r="A27">
        <v>24</v>
      </c>
      <c r="B27" t="s">
        <v>491</v>
      </c>
      <c r="C27">
        <v>60.602</v>
      </c>
      <c r="D27">
        <v>16.1</v>
      </c>
      <c r="E27">
        <v>1.008</v>
      </c>
    </row>
    <row r="28" spans="1:5" ht="10.5">
      <c r="A28">
        <v>25</v>
      </c>
      <c r="B28" t="s">
        <v>491</v>
      </c>
      <c r="C28">
        <v>66.118</v>
      </c>
      <c r="D28">
        <v>16.101</v>
      </c>
      <c r="E28">
        <v>1.015</v>
      </c>
    </row>
    <row r="29" spans="1:5" ht="10.5">
      <c r="A29">
        <v>26</v>
      </c>
      <c r="B29" t="s">
        <v>491</v>
      </c>
      <c r="C29">
        <v>95.892</v>
      </c>
      <c r="D29">
        <v>16.102</v>
      </c>
      <c r="E29">
        <v>1.015</v>
      </c>
    </row>
    <row r="30" spans="1:5" ht="10.5">
      <c r="A30">
        <v>27</v>
      </c>
      <c r="B30" t="s">
        <v>491</v>
      </c>
      <c r="C30">
        <v>110.292</v>
      </c>
      <c r="D30">
        <v>16.102</v>
      </c>
      <c r="E30">
        <v>1.002</v>
      </c>
    </row>
    <row r="31" spans="1:5" ht="10.5">
      <c r="A31">
        <v>28</v>
      </c>
      <c r="B31" t="s">
        <v>491</v>
      </c>
      <c r="C31">
        <v>124.692</v>
      </c>
      <c r="D31">
        <v>16.102</v>
      </c>
      <c r="E31">
        <v>0.981</v>
      </c>
    </row>
    <row r="32" spans="1:5" ht="10.5">
      <c r="A32">
        <v>29</v>
      </c>
      <c r="B32" t="s">
        <v>491</v>
      </c>
      <c r="C32">
        <v>3.002</v>
      </c>
      <c r="D32">
        <v>31.501</v>
      </c>
      <c r="E32">
        <v>0.916</v>
      </c>
    </row>
    <row r="33" spans="1:5" ht="10.5">
      <c r="A33">
        <v>30</v>
      </c>
      <c r="B33" t="s">
        <v>491</v>
      </c>
      <c r="C33">
        <v>17.402</v>
      </c>
      <c r="D33">
        <v>31.5</v>
      </c>
      <c r="E33">
        <v>0.956</v>
      </c>
    </row>
    <row r="34" spans="1:5" ht="10.5">
      <c r="A34">
        <v>31</v>
      </c>
      <c r="B34" t="s">
        <v>491</v>
      </c>
      <c r="C34">
        <v>31.802</v>
      </c>
      <c r="D34">
        <v>31.5</v>
      </c>
      <c r="E34">
        <v>0.986</v>
      </c>
    </row>
    <row r="35" spans="1:5" ht="10.5">
      <c r="A35">
        <v>32</v>
      </c>
      <c r="B35" t="s">
        <v>491</v>
      </c>
      <c r="C35">
        <v>46.202</v>
      </c>
      <c r="D35">
        <v>31.501</v>
      </c>
      <c r="E35">
        <v>1.006</v>
      </c>
    </row>
    <row r="36" spans="1:5" ht="10.5">
      <c r="A36">
        <v>33</v>
      </c>
      <c r="B36" t="s">
        <v>491</v>
      </c>
      <c r="C36">
        <v>60.602</v>
      </c>
      <c r="D36">
        <v>31.5</v>
      </c>
      <c r="E36">
        <v>1.013</v>
      </c>
    </row>
    <row r="37" spans="1:5" ht="10.5">
      <c r="A37">
        <v>34</v>
      </c>
      <c r="B37" t="s">
        <v>491</v>
      </c>
      <c r="C37">
        <v>66.118</v>
      </c>
      <c r="D37">
        <v>31.501</v>
      </c>
      <c r="E37">
        <v>1.014</v>
      </c>
    </row>
    <row r="38" spans="1:5" ht="10.5">
      <c r="A38">
        <v>35</v>
      </c>
      <c r="B38" t="s">
        <v>491</v>
      </c>
      <c r="C38">
        <v>95.892</v>
      </c>
      <c r="D38">
        <v>31.502</v>
      </c>
      <c r="E38">
        <v>1.018</v>
      </c>
    </row>
    <row r="39" spans="1:5" ht="10.5">
      <c r="A39">
        <v>36</v>
      </c>
      <c r="B39" t="s">
        <v>491</v>
      </c>
      <c r="C39">
        <v>110.292</v>
      </c>
      <c r="D39">
        <v>31.502</v>
      </c>
      <c r="E39">
        <v>1.01</v>
      </c>
    </row>
    <row r="40" spans="1:5" ht="10.5">
      <c r="A40">
        <v>37</v>
      </c>
      <c r="B40" t="s">
        <v>491</v>
      </c>
      <c r="C40">
        <v>124.692</v>
      </c>
      <c r="D40">
        <v>31.502</v>
      </c>
      <c r="E40">
        <v>0.988</v>
      </c>
    </row>
    <row r="41" spans="1:5" ht="10.5">
      <c r="A41">
        <v>38</v>
      </c>
      <c r="B41" t="s">
        <v>491</v>
      </c>
      <c r="C41">
        <v>3.002</v>
      </c>
      <c r="D41">
        <v>46.9</v>
      </c>
      <c r="E41">
        <v>0.919</v>
      </c>
    </row>
    <row r="42" spans="1:5" ht="10.5">
      <c r="A42">
        <v>39</v>
      </c>
      <c r="B42" t="s">
        <v>491</v>
      </c>
      <c r="C42">
        <v>17.402</v>
      </c>
      <c r="D42">
        <v>46.9</v>
      </c>
      <c r="E42">
        <v>0.957</v>
      </c>
    </row>
    <row r="43" spans="1:5" ht="10.5">
      <c r="A43">
        <v>40</v>
      </c>
      <c r="B43" t="s">
        <v>491</v>
      </c>
      <c r="C43">
        <v>31.802</v>
      </c>
      <c r="D43">
        <v>46.9</v>
      </c>
      <c r="E43">
        <v>0.984</v>
      </c>
    </row>
    <row r="44" spans="1:5" ht="10.5">
      <c r="A44">
        <v>41</v>
      </c>
      <c r="B44" t="s">
        <v>491</v>
      </c>
      <c r="C44">
        <v>46.202</v>
      </c>
      <c r="D44">
        <v>46.9</v>
      </c>
      <c r="E44">
        <v>1.006</v>
      </c>
    </row>
    <row r="45" spans="1:5" ht="10.5">
      <c r="A45">
        <v>42</v>
      </c>
      <c r="B45" t="s">
        <v>491</v>
      </c>
      <c r="C45">
        <v>60.602</v>
      </c>
      <c r="D45">
        <v>46.9</v>
      </c>
      <c r="E45">
        <v>1.011</v>
      </c>
    </row>
    <row r="46" spans="1:5" ht="10.5">
      <c r="A46">
        <v>43</v>
      </c>
      <c r="B46" t="s">
        <v>491</v>
      </c>
      <c r="C46">
        <v>66.118</v>
      </c>
      <c r="D46">
        <v>46.901</v>
      </c>
      <c r="E46">
        <v>1.014</v>
      </c>
    </row>
    <row r="47" spans="1:5" ht="10.5">
      <c r="A47">
        <v>44</v>
      </c>
      <c r="B47" t="s">
        <v>491</v>
      </c>
      <c r="C47">
        <v>95.892</v>
      </c>
      <c r="D47">
        <v>46.902</v>
      </c>
      <c r="E47">
        <v>1.015</v>
      </c>
    </row>
    <row r="48" spans="1:5" ht="10.5">
      <c r="A48">
        <v>45</v>
      </c>
      <c r="B48" t="s">
        <v>491</v>
      </c>
      <c r="C48">
        <v>110.292</v>
      </c>
      <c r="D48">
        <v>46.902</v>
      </c>
      <c r="E48">
        <v>1.01</v>
      </c>
    </row>
    <row r="49" spans="1:5" ht="10.5">
      <c r="A49">
        <v>46</v>
      </c>
      <c r="B49" t="s">
        <v>491</v>
      </c>
      <c r="C49">
        <v>124.692</v>
      </c>
      <c r="D49">
        <v>46.902</v>
      </c>
      <c r="E49">
        <v>0.993</v>
      </c>
    </row>
    <row r="50" spans="1:5" ht="10.5">
      <c r="A50">
        <v>47</v>
      </c>
      <c r="B50" t="s">
        <v>491</v>
      </c>
      <c r="C50">
        <v>3.002</v>
      </c>
      <c r="D50">
        <v>62.3</v>
      </c>
      <c r="E50">
        <v>0.915</v>
      </c>
    </row>
    <row r="51" spans="1:5" ht="10.5">
      <c r="A51">
        <v>48</v>
      </c>
      <c r="B51" t="s">
        <v>491</v>
      </c>
      <c r="C51">
        <v>17.402</v>
      </c>
      <c r="D51">
        <v>62.3</v>
      </c>
      <c r="E51">
        <v>0.96</v>
      </c>
    </row>
    <row r="52" spans="1:5" ht="10.5">
      <c r="A52">
        <v>49</v>
      </c>
      <c r="B52" t="s">
        <v>491</v>
      </c>
      <c r="C52">
        <v>31.802</v>
      </c>
      <c r="D52">
        <v>62.301</v>
      </c>
      <c r="E52">
        <v>0.987</v>
      </c>
    </row>
    <row r="53" spans="1:5" ht="10.5">
      <c r="A53">
        <v>50</v>
      </c>
      <c r="B53" t="s">
        <v>491</v>
      </c>
      <c r="C53">
        <v>46.202</v>
      </c>
      <c r="D53">
        <v>62.3</v>
      </c>
      <c r="E53">
        <v>1.007</v>
      </c>
    </row>
    <row r="54" spans="1:5" ht="10.5">
      <c r="A54">
        <v>51</v>
      </c>
      <c r="B54" t="s">
        <v>491</v>
      </c>
      <c r="C54">
        <v>60.602</v>
      </c>
      <c r="D54">
        <v>62.3</v>
      </c>
      <c r="E54">
        <v>1.021</v>
      </c>
    </row>
    <row r="55" spans="1:5" ht="10.5">
      <c r="A55">
        <v>52</v>
      </c>
      <c r="B55" t="s">
        <v>491</v>
      </c>
      <c r="C55">
        <v>66.118</v>
      </c>
      <c r="D55">
        <v>62.301</v>
      </c>
      <c r="E55">
        <v>1.014</v>
      </c>
    </row>
    <row r="56" spans="1:5" ht="10.5">
      <c r="A56">
        <v>53</v>
      </c>
      <c r="B56" t="s">
        <v>491</v>
      </c>
      <c r="C56">
        <v>95.892</v>
      </c>
      <c r="D56">
        <v>62.302</v>
      </c>
      <c r="E56">
        <v>1.018</v>
      </c>
    </row>
    <row r="57" spans="1:5" ht="10.5">
      <c r="A57">
        <v>54</v>
      </c>
      <c r="B57" t="s">
        <v>491</v>
      </c>
      <c r="C57">
        <v>110.292</v>
      </c>
      <c r="D57">
        <v>62.302</v>
      </c>
      <c r="E57">
        <v>1.009</v>
      </c>
    </row>
    <row r="58" spans="1:5" ht="10.5">
      <c r="A58">
        <v>55</v>
      </c>
      <c r="B58" t="s">
        <v>491</v>
      </c>
      <c r="C58">
        <v>124.691</v>
      </c>
      <c r="D58">
        <v>62.302</v>
      </c>
      <c r="E58">
        <v>0.996</v>
      </c>
    </row>
    <row r="59" spans="1:5" ht="10.5">
      <c r="A59">
        <v>56</v>
      </c>
      <c r="B59" t="s">
        <v>491</v>
      </c>
      <c r="C59">
        <v>69.51</v>
      </c>
      <c r="D59">
        <v>-5.051</v>
      </c>
      <c r="E59">
        <v>2.001</v>
      </c>
    </row>
    <row r="60" spans="1:5" ht="10.5">
      <c r="A60">
        <v>57</v>
      </c>
      <c r="B60" t="s">
        <v>491</v>
      </c>
      <c r="C60">
        <v>89.039</v>
      </c>
      <c r="D60">
        <v>-5.095</v>
      </c>
      <c r="E60">
        <v>1.98</v>
      </c>
    </row>
    <row r="61" spans="1:5" ht="10.5">
      <c r="A61">
        <v>58</v>
      </c>
      <c r="B61" t="s">
        <v>491</v>
      </c>
      <c r="C61">
        <v>73.325</v>
      </c>
      <c r="D61">
        <v>31.5</v>
      </c>
      <c r="E61">
        <v>2.046</v>
      </c>
    </row>
    <row r="62" spans="1:5" ht="10.5">
      <c r="A62">
        <v>59</v>
      </c>
      <c r="B62" t="s">
        <v>491</v>
      </c>
      <c r="C62">
        <v>89.27</v>
      </c>
      <c r="D62">
        <v>31.525</v>
      </c>
      <c r="E62">
        <v>2.02</v>
      </c>
    </row>
    <row r="63" spans="1:5" ht="10.5">
      <c r="A63">
        <v>60</v>
      </c>
      <c r="B63" t="s">
        <v>491</v>
      </c>
      <c r="C63">
        <v>69.487</v>
      </c>
      <c r="D63">
        <v>65.902</v>
      </c>
      <c r="E63">
        <v>2.061</v>
      </c>
    </row>
    <row r="64" spans="1:5" ht="10.5">
      <c r="A64">
        <v>61</v>
      </c>
      <c r="B64" t="s">
        <v>491</v>
      </c>
      <c r="C64">
        <v>88.783</v>
      </c>
      <c r="D64">
        <v>66.069</v>
      </c>
      <c r="E64">
        <v>2.079</v>
      </c>
    </row>
    <row r="65" spans="1:5" ht="10.5">
      <c r="A65">
        <v>62</v>
      </c>
      <c r="B65" t="s">
        <v>491</v>
      </c>
      <c r="C65">
        <v>73.183</v>
      </c>
      <c r="D65">
        <v>64.802</v>
      </c>
      <c r="E65">
        <v>3.319</v>
      </c>
    </row>
    <row r="66" spans="1:5" ht="10.5">
      <c r="A66">
        <v>63</v>
      </c>
      <c r="B66" t="s">
        <v>491</v>
      </c>
      <c r="C66">
        <v>83.749</v>
      </c>
      <c r="D66">
        <v>65.12</v>
      </c>
      <c r="E66">
        <v>3.325</v>
      </c>
    </row>
    <row r="67" spans="1:5" ht="10.5">
      <c r="A67">
        <v>64</v>
      </c>
      <c r="B67" t="s">
        <v>491</v>
      </c>
      <c r="C67">
        <v>71.426</v>
      </c>
      <c r="D67">
        <v>67.686</v>
      </c>
      <c r="E67">
        <v>3.179</v>
      </c>
    </row>
    <row r="68" spans="1:5" ht="10.5">
      <c r="A68">
        <v>65</v>
      </c>
      <c r="B68" t="s">
        <v>491</v>
      </c>
      <c r="C68">
        <v>63.233</v>
      </c>
      <c r="D68">
        <v>66.329</v>
      </c>
      <c r="E68">
        <v>0.926</v>
      </c>
    </row>
    <row r="69" spans="1:5" ht="10.5">
      <c r="A69">
        <v>66</v>
      </c>
      <c r="B69" t="s">
        <v>491</v>
      </c>
      <c r="C69">
        <v>63.841</v>
      </c>
      <c r="D69">
        <v>66.341</v>
      </c>
      <c r="E69">
        <v>0.929</v>
      </c>
    </row>
    <row r="70" spans="1:5" ht="10.5">
      <c r="A70">
        <v>67</v>
      </c>
      <c r="B70" t="s">
        <v>491</v>
      </c>
      <c r="C70">
        <v>63.541</v>
      </c>
      <c r="D70">
        <v>66.013</v>
      </c>
      <c r="E70">
        <v>0.928</v>
      </c>
    </row>
    <row r="71" spans="1:5" ht="10.5">
      <c r="A71">
        <v>68</v>
      </c>
      <c r="B71" t="s">
        <v>491</v>
      </c>
      <c r="C71">
        <v>62.798</v>
      </c>
      <c r="D71">
        <v>-2.921</v>
      </c>
      <c r="E71">
        <v>0.915</v>
      </c>
    </row>
    <row r="72" spans="1:5" ht="10.5">
      <c r="A72">
        <v>69</v>
      </c>
      <c r="B72" t="s">
        <v>491</v>
      </c>
      <c r="C72">
        <v>62.963</v>
      </c>
      <c r="D72">
        <v>-8.92</v>
      </c>
      <c r="E72">
        <v>0.906</v>
      </c>
    </row>
    <row r="73" spans="1:5" ht="10.5">
      <c r="A73">
        <v>70</v>
      </c>
      <c r="B73" t="s">
        <v>491</v>
      </c>
      <c r="C73">
        <v>63.126</v>
      </c>
      <c r="D73">
        <v>-14.917</v>
      </c>
      <c r="E73">
        <v>0.904</v>
      </c>
    </row>
    <row r="74" spans="1:5" ht="10.5">
      <c r="A74">
        <v>71</v>
      </c>
      <c r="B74" t="s">
        <v>491</v>
      </c>
      <c r="C74">
        <v>65</v>
      </c>
      <c r="D74">
        <v>-14.866</v>
      </c>
      <c r="E74">
        <v>0.902</v>
      </c>
    </row>
    <row r="75" spans="1:5" ht="10.5">
      <c r="A75">
        <v>72</v>
      </c>
      <c r="B75" t="s">
        <v>491</v>
      </c>
      <c r="C75">
        <v>64.837</v>
      </c>
      <c r="D75">
        <v>-8.924</v>
      </c>
      <c r="E75">
        <v>0.902</v>
      </c>
    </row>
    <row r="76" spans="1:5" ht="10.5">
      <c r="A76">
        <v>73</v>
      </c>
      <c r="B76" t="s">
        <v>491</v>
      </c>
      <c r="C76">
        <v>64.673</v>
      </c>
      <c r="D76">
        <v>-2.928</v>
      </c>
      <c r="E76">
        <v>0.91</v>
      </c>
    </row>
    <row r="77" spans="1:5" ht="10.5">
      <c r="A77">
        <v>74</v>
      </c>
      <c r="B77" t="s">
        <v>491</v>
      </c>
      <c r="C77">
        <v>94.998</v>
      </c>
      <c r="D77">
        <v>-2.919</v>
      </c>
      <c r="E77">
        <v>0.908</v>
      </c>
    </row>
    <row r="78" spans="1:5" ht="10.5">
      <c r="A78">
        <v>75</v>
      </c>
      <c r="B78" t="s">
        <v>491</v>
      </c>
      <c r="C78">
        <v>94.998</v>
      </c>
      <c r="D78">
        <v>-8.922</v>
      </c>
      <c r="E78">
        <v>0.904</v>
      </c>
    </row>
    <row r="79" spans="1:5" ht="10.5">
      <c r="A79">
        <v>76</v>
      </c>
      <c r="B79" t="s">
        <v>491</v>
      </c>
      <c r="C79">
        <v>94.998</v>
      </c>
      <c r="D79">
        <v>-14.924</v>
      </c>
      <c r="E79">
        <v>0.901</v>
      </c>
    </row>
    <row r="80" spans="1:5" ht="10.5">
      <c r="A80">
        <v>77</v>
      </c>
      <c r="B80" t="s">
        <v>491</v>
      </c>
      <c r="C80">
        <v>97.997</v>
      </c>
      <c r="D80">
        <v>-14.915</v>
      </c>
      <c r="E80">
        <v>0.908</v>
      </c>
    </row>
    <row r="81" spans="1:5" ht="10.5">
      <c r="A81">
        <v>78</v>
      </c>
      <c r="B81" t="s">
        <v>491</v>
      </c>
      <c r="C81">
        <v>97.998</v>
      </c>
      <c r="D81">
        <v>-8.914</v>
      </c>
      <c r="E81">
        <v>0.908</v>
      </c>
    </row>
    <row r="82" spans="1:5" ht="10.5">
      <c r="A82">
        <v>79</v>
      </c>
      <c r="B82" t="s">
        <v>491</v>
      </c>
      <c r="C82">
        <v>97.997</v>
      </c>
      <c r="D82">
        <v>-2.912</v>
      </c>
      <c r="E82">
        <v>0.91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5"/>
  <sheetViews>
    <sheetView workbookViewId="0" topLeftCell="A1">
      <selection activeCell="B2" sqref="B2"/>
    </sheetView>
  </sheetViews>
  <sheetFormatPr defaultColWidth="9.140625" defaultRowHeight="12"/>
  <cols>
    <col min="1" max="1" width="16.00390625" style="4" customWidth="1"/>
    <col min="2" max="2" width="14.140625" style="0" customWidth="1"/>
    <col min="3" max="3" width="14.8515625" style="0" customWidth="1"/>
    <col min="4" max="4" width="12.140625" style="0" customWidth="1"/>
    <col min="5" max="5" width="11.140625" style="0" customWidth="1"/>
    <col min="6" max="16384" width="7.140625" style="0" customWidth="1"/>
  </cols>
  <sheetData>
    <row r="1" spans="1:3" ht="10.5">
      <c r="A1" s="7" t="s">
        <v>190</v>
      </c>
      <c r="B1" s="53" t="s">
        <v>191</v>
      </c>
      <c r="C1" s="8"/>
    </row>
    <row r="2" spans="1:3" ht="10.5">
      <c r="A2" s="7" t="s">
        <v>192</v>
      </c>
      <c r="B2" s="53" t="s">
        <v>193</v>
      </c>
      <c r="C2" s="8"/>
    </row>
    <row r="3" spans="1:11" ht="10.5">
      <c r="A3" s="9" t="s">
        <v>194</v>
      </c>
      <c r="B3" s="53" t="s">
        <v>195</v>
      </c>
      <c r="C3" s="53"/>
      <c r="E3" t="s">
        <v>196</v>
      </c>
      <c r="F3" t="s">
        <v>197</v>
      </c>
      <c r="G3" t="s">
        <v>195</v>
      </c>
      <c r="H3" t="s">
        <v>198</v>
      </c>
      <c r="I3" t="s">
        <v>199</v>
      </c>
      <c r="J3" t="s">
        <v>200</v>
      </c>
      <c r="K3" t="s">
        <v>201</v>
      </c>
    </row>
    <row r="4" spans="1:3" ht="10.5">
      <c r="A4" s="9" t="s">
        <v>202</v>
      </c>
      <c r="B4" s="53" t="s">
        <v>203</v>
      </c>
      <c r="C4" s="8"/>
    </row>
    <row r="5" spans="1:3" ht="10.5">
      <c r="A5" s="9" t="s">
        <v>204</v>
      </c>
      <c r="B5" s="53" t="s">
        <v>205</v>
      </c>
      <c r="C5" s="8"/>
    </row>
    <row r="6" spans="1:3" ht="10.5">
      <c r="A6" s="9" t="s">
        <v>206</v>
      </c>
      <c r="B6" s="53" t="s">
        <v>207</v>
      </c>
      <c r="C6" s="8"/>
    </row>
    <row r="7" spans="1:3" ht="10.5">
      <c r="A7" s="10" t="s">
        <v>208</v>
      </c>
      <c r="B7" s="11" t="s">
        <v>209</v>
      </c>
      <c r="C7" s="8"/>
    </row>
    <row r="8" spans="1:3" ht="10.5">
      <c r="A8" s="10"/>
      <c r="B8" s="11" t="s">
        <v>210</v>
      </c>
      <c r="C8" s="8"/>
    </row>
    <row r="9" spans="1:3" ht="10.5">
      <c r="A9" s="10"/>
      <c r="C9" s="8"/>
    </row>
    <row r="10" spans="1:3" ht="10.5">
      <c r="A10" s="6"/>
      <c r="B10" s="5"/>
      <c r="C10" s="5"/>
    </row>
    <row r="11" spans="1:4" ht="10.5">
      <c r="A11" s="49"/>
      <c r="B11" s="1" t="s">
        <v>211</v>
      </c>
      <c r="C11" s="2" t="s">
        <v>212</v>
      </c>
      <c r="D11" s="22"/>
    </row>
    <row r="12" spans="1:4" ht="12">
      <c r="A12" s="51" t="s">
        <v>213</v>
      </c>
      <c r="B12">
        <v>-62.4821065090849</v>
      </c>
      <c r="C12">
        <v>-63.7949930678326</v>
      </c>
      <c r="D12" s="14" t="s">
        <v>214</v>
      </c>
    </row>
    <row r="13" spans="1:3" ht="12">
      <c r="A13" s="52" t="s">
        <v>215</v>
      </c>
      <c r="B13">
        <v>34.0759026182884</v>
      </c>
      <c r="C13">
        <v>-31.5501170481328</v>
      </c>
    </row>
    <row r="14" spans="1:3" ht="12">
      <c r="A14" s="50" t="s">
        <v>216</v>
      </c>
      <c r="B14">
        <v>0.744785025035811</v>
      </c>
      <c r="C14" s="61">
        <v>-0.00546071342940743</v>
      </c>
    </row>
    <row r="15" spans="1:3" ht="12">
      <c r="A15" s="51" t="s">
        <v>217</v>
      </c>
      <c r="B15">
        <v>-46.6197089139676</v>
      </c>
      <c r="C15">
        <v>-47.9198925757607</v>
      </c>
    </row>
    <row r="16" spans="1:3" ht="12">
      <c r="A16" s="52" t="s">
        <v>215</v>
      </c>
      <c r="B16">
        <v>33.4410752396803</v>
      </c>
      <c r="C16">
        <v>-31.5500542483215</v>
      </c>
    </row>
    <row r="17" spans="1:3" ht="12">
      <c r="A17" s="50" t="s">
        <v>216</v>
      </c>
      <c r="B17">
        <v>0.776622636918301</v>
      </c>
      <c r="C17" s="61">
        <v>0.0324977226242781</v>
      </c>
    </row>
    <row r="18" spans="1:3" ht="12">
      <c r="A18" s="51" t="s">
        <v>218</v>
      </c>
      <c r="B18">
        <v>-30.7573885027137</v>
      </c>
      <c r="C18">
        <v>-32.0448138760563</v>
      </c>
    </row>
    <row r="19" spans="1:3" ht="12">
      <c r="A19" s="52" t="s">
        <v>215</v>
      </c>
      <c r="B19">
        <v>32.806344160846</v>
      </c>
      <c r="C19">
        <v>-31.5500932525561</v>
      </c>
    </row>
    <row r="20" spans="1:3" ht="12">
      <c r="A20" s="50" t="s">
        <v>216</v>
      </c>
      <c r="B20">
        <v>0.790715064760565</v>
      </c>
      <c r="C20" s="61">
        <v>0.0524704834200497</v>
      </c>
    </row>
    <row r="21" spans="1:3" ht="12">
      <c r="A21" s="51" t="s">
        <v>219</v>
      </c>
      <c r="B21">
        <v>-14.8951186256227</v>
      </c>
      <c r="C21">
        <v>-16.1697049300949</v>
      </c>
    </row>
    <row r="22" spans="1:3" ht="12">
      <c r="A22" s="52" t="s">
        <v>215</v>
      </c>
      <c r="B22">
        <v>32.1715114301821</v>
      </c>
      <c r="C22">
        <v>-31.5501326775782</v>
      </c>
    </row>
    <row r="23" spans="1:3" ht="12">
      <c r="A23" s="50" t="s">
        <v>216</v>
      </c>
      <c r="B23">
        <v>0.79560926990494</v>
      </c>
      <c r="C23" s="61">
        <v>0.0634778941419052</v>
      </c>
    </row>
    <row r="24" spans="1:3" ht="12">
      <c r="A24" s="51" t="s">
        <v>220</v>
      </c>
      <c r="B24">
        <v>0.967211323612049</v>
      </c>
      <c r="C24">
        <v>-0.294837168512937</v>
      </c>
    </row>
    <row r="25" spans="1:3" ht="12">
      <c r="A25" s="52" t="s">
        <v>215</v>
      </c>
      <c r="B25">
        <v>31.5366733684116</v>
      </c>
      <c r="C25">
        <v>-31.5500753064453</v>
      </c>
    </row>
    <row r="26" spans="1:3" ht="12">
      <c r="A26" s="50" t="s">
        <v>216</v>
      </c>
      <c r="B26">
        <v>0.790977346948885</v>
      </c>
      <c r="C26" s="61">
        <v>0.0694860387838796</v>
      </c>
    </row>
    <row r="27" spans="1:3" ht="12">
      <c r="A27" s="51" t="s">
        <v>221</v>
      </c>
      <c r="B27">
        <v>-63.1126784652347</v>
      </c>
      <c r="C27">
        <v>-63.7948513340073</v>
      </c>
    </row>
    <row r="28" spans="1:3" ht="12">
      <c r="A28" s="52" t="s">
        <v>215</v>
      </c>
      <c r="B28">
        <v>18.312437242667</v>
      </c>
      <c r="C28">
        <v>-15.7750033007856</v>
      </c>
    </row>
    <row r="29" spans="1:3" ht="12">
      <c r="A29" s="50" t="s">
        <v>216</v>
      </c>
      <c r="B29">
        <v>0.760081963265842</v>
      </c>
      <c r="C29" s="61">
        <v>0.0151945733520424</v>
      </c>
    </row>
    <row r="30" spans="1:3" ht="12">
      <c r="A30" s="51" t="s">
        <v>222</v>
      </c>
      <c r="B30">
        <v>-47.2504928405288</v>
      </c>
      <c r="C30">
        <v>-47.9198396347687</v>
      </c>
    </row>
    <row r="31" spans="1:3" ht="12">
      <c r="A31" s="52" t="s">
        <v>215</v>
      </c>
      <c r="B31">
        <v>17.6777158153007</v>
      </c>
      <c r="C31">
        <v>-15.775041530059</v>
      </c>
    </row>
    <row r="32" spans="1:3" ht="12">
      <c r="A32" s="50" t="s">
        <v>216</v>
      </c>
      <c r="B32">
        <v>0.788849813292503</v>
      </c>
      <c r="C32">
        <v>0.053196775413888</v>
      </c>
    </row>
    <row r="33" spans="1:3" ht="12">
      <c r="A33" s="51" t="s">
        <v>223</v>
      </c>
      <c r="B33">
        <v>-31.3881805296297</v>
      </c>
      <c r="C33">
        <v>-32.0448834423754</v>
      </c>
    </row>
    <row r="34" spans="1:3" ht="12">
      <c r="A34" s="52" t="s">
        <v>215</v>
      </c>
      <c r="B34">
        <v>17.0428838338188</v>
      </c>
      <c r="C34">
        <v>-15.7750823981291</v>
      </c>
    </row>
    <row r="35" spans="1:3" ht="12">
      <c r="A35" s="50" t="s">
        <v>216</v>
      </c>
      <c r="B35">
        <v>0.799620630346143</v>
      </c>
      <c r="C35" s="61">
        <v>0.0679252476004879</v>
      </c>
    </row>
    <row r="36" spans="1:3" ht="12">
      <c r="A36" s="51" t="s">
        <v>224</v>
      </c>
      <c r="B36">
        <v>-15.525813996146</v>
      </c>
      <c r="C36">
        <v>-16.1696933431667</v>
      </c>
    </row>
    <row r="37" spans="1:3" ht="12">
      <c r="A37" s="52" t="s">
        <v>215</v>
      </c>
      <c r="B37">
        <v>16.4082469288077</v>
      </c>
      <c r="C37">
        <v>-15.7751214639691</v>
      </c>
    </row>
    <row r="38" spans="1:3" ht="12">
      <c r="A38" s="50" t="s">
        <v>216</v>
      </c>
      <c r="B38">
        <v>0.80118786804086</v>
      </c>
      <c r="C38" s="61">
        <v>0.0722102028561138</v>
      </c>
    </row>
    <row r="39" spans="1:3" ht="12">
      <c r="A39" s="51" t="s">
        <v>225</v>
      </c>
      <c r="B39">
        <v>0.336509456898696</v>
      </c>
      <c r="C39">
        <v>-0.294736808611198</v>
      </c>
    </row>
    <row r="40" spans="1:3" ht="12">
      <c r="A40" s="52" t="s">
        <v>215</v>
      </c>
      <c r="B40">
        <v>15.7733090449332</v>
      </c>
      <c r="C40">
        <v>-15.7750635517256</v>
      </c>
    </row>
    <row r="41" spans="1:3" ht="12">
      <c r="A41" s="50" t="s">
        <v>216</v>
      </c>
      <c r="B41">
        <v>0.796438736960382</v>
      </c>
      <c r="C41" s="61">
        <v>0.0725907675243516</v>
      </c>
    </row>
    <row r="42" spans="1:3" ht="12">
      <c r="A42" s="51" t="s">
        <v>226</v>
      </c>
      <c r="B42">
        <v>-63.743688477455</v>
      </c>
      <c r="C42">
        <v>-63.794945702072</v>
      </c>
    </row>
    <row r="43" spans="1:3" ht="12">
      <c r="A43" s="52" t="s">
        <v>215</v>
      </c>
      <c r="B43">
        <v>2.54906025173856</v>
      </c>
      <c r="C43" s="61">
        <v>1.38550066534508E-06</v>
      </c>
    </row>
    <row r="44" spans="1:3" ht="12">
      <c r="A44" s="50" t="s">
        <v>216</v>
      </c>
      <c r="B44">
        <v>0.761531599496557</v>
      </c>
      <c r="C44" s="61">
        <v>0.0225225464352091</v>
      </c>
    </row>
    <row r="45" spans="1:3" ht="12">
      <c r="A45" s="51" t="s">
        <v>227</v>
      </c>
      <c r="B45">
        <v>-47.8812114926468</v>
      </c>
      <c r="C45">
        <v>-47.9198322084721</v>
      </c>
    </row>
    <row r="46" spans="1:3" ht="12">
      <c r="A46" s="52" t="s">
        <v>215</v>
      </c>
      <c r="B46">
        <v>1.91432550768618</v>
      </c>
      <c r="C46" s="61">
        <v>-0.000134494448910763</v>
      </c>
    </row>
    <row r="47" spans="1:3" ht="12">
      <c r="A47" s="50" t="s">
        <v>216</v>
      </c>
      <c r="B47">
        <v>0.789603310157031</v>
      </c>
      <c r="C47" s="61">
        <v>0.0572241091127144</v>
      </c>
    </row>
    <row r="48" spans="1:3" ht="12">
      <c r="A48" s="51" t="s">
        <v>228</v>
      </c>
      <c r="B48">
        <v>-32.0189034309564</v>
      </c>
      <c r="C48">
        <v>-32.0447957477032</v>
      </c>
    </row>
    <row r="49" spans="1:3" ht="12">
      <c r="A49" s="52" t="s">
        <v>215</v>
      </c>
      <c r="B49">
        <v>1.279489023357</v>
      </c>
      <c r="C49" s="61">
        <v>-7.32917997533022E-05</v>
      </c>
    </row>
    <row r="50" spans="1:3" ht="12">
      <c r="A50" s="50" t="s">
        <v>216</v>
      </c>
      <c r="B50">
        <v>0.797292062834617</v>
      </c>
      <c r="C50" s="61">
        <v>0.0681250373471409</v>
      </c>
    </row>
    <row r="51" spans="1:3" ht="12">
      <c r="A51" s="51" t="s">
        <v>229</v>
      </c>
      <c r="B51">
        <v>-16.1567443802351</v>
      </c>
      <c r="C51">
        <v>-16.1697074555439</v>
      </c>
    </row>
    <row r="52" spans="1:3" ht="12">
      <c r="A52" s="52" t="s">
        <v>215</v>
      </c>
      <c r="B52">
        <v>0.644655130523984</v>
      </c>
      <c r="C52" s="61">
        <v>-0.000112121875913168</v>
      </c>
    </row>
    <row r="53" spans="1:3" ht="12">
      <c r="A53" s="50" t="s">
        <v>216</v>
      </c>
      <c r="B53">
        <v>0.798537195687727</v>
      </c>
      <c r="C53" s="61">
        <v>0.0717669478260962</v>
      </c>
    </row>
    <row r="54" spans="1:3" ht="12">
      <c r="A54" s="51" t="s">
        <v>230</v>
      </c>
      <c r="B54">
        <v>-0.294355501839662</v>
      </c>
      <c r="C54">
        <v>-0.294887009574235</v>
      </c>
    </row>
    <row r="55" spans="1:3" ht="12">
      <c r="A55" s="52" t="s">
        <v>215</v>
      </c>
      <c r="B55" s="61">
        <v>0.00990710482669582</v>
      </c>
      <c r="C55" s="61">
        <v>-5.55601282725964E-05</v>
      </c>
    </row>
    <row r="56" spans="1:3" ht="12">
      <c r="A56" s="50" t="s">
        <v>216</v>
      </c>
      <c r="B56">
        <v>0.780898457263153</v>
      </c>
      <c r="C56" s="61">
        <v>0.0576461715763733</v>
      </c>
    </row>
    <row r="57" spans="1:3" ht="12">
      <c r="A57" s="51" t="s">
        <v>231</v>
      </c>
      <c r="B57">
        <v>-64.3744183512604</v>
      </c>
      <c r="C57">
        <v>-63.7948769538242</v>
      </c>
    </row>
    <row r="58" spans="1:3" ht="12">
      <c r="A58" s="52" t="s">
        <v>215</v>
      </c>
      <c r="B58">
        <v>-13.2142113530553</v>
      </c>
      <c r="C58">
        <v>15.7748136155215</v>
      </c>
    </row>
    <row r="59" spans="1:3" ht="12">
      <c r="A59" s="50" t="s">
        <v>216</v>
      </c>
      <c r="B59">
        <v>0.755014411534321</v>
      </c>
      <c r="C59" s="61">
        <v>0.0159001925943784</v>
      </c>
    </row>
    <row r="60" spans="1:3" ht="12">
      <c r="A60" s="51" t="s">
        <v>232</v>
      </c>
      <c r="B60">
        <v>-48.5120484929924</v>
      </c>
      <c r="C60">
        <v>-47.9197496104793</v>
      </c>
    </row>
    <row r="61" spans="1:3" ht="12">
      <c r="A61" s="52" t="s">
        <v>215</v>
      </c>
      <c r="B61">
        <v>-13.8491429575652</v>
      </c>
      <c r="C61">
        <v>15.7748836882425</v>
      </c>
    </row>
    <row r="62" spans="1:3" ht="12">
      <c r="A62" s="50" t="s">
        <v>216</v>
      </c>
      <c r="B62">
        <v>0.785008454970028</v>
      </c>
      <c r="C62" s="61">
        <v>0.0528496352461785</v>
      </c>
    </row>
    <row r="63" spans="1:3" ht="12">
      <c r="A63" s="51" t="s">
        <v>233</v>
      </c>
      <c r="B63">
        <v>-32.6497164196466</v>
      </c>
      <c r="C63">
        <v>-32.0448090299216</v>
      </c>
    </row>
    <row r="64" spans="1:3" ht="12">
      <c r="A64" s="52" t="s">
        <v>215</v>
      </c>
      <c r="B64">
        <v>-14.483879209736</v>
      </c>
      <c r="C64">
        <v>15.7750497770424</v>
      </c>
    </row>
    <row r="65" spans="1:3" ht="12">
      <c r="A65" s="50" t="s">
        <v>216</v>
      </c>
      <c r="B65">
        <v>0.798052871123505</v>
      </c>
      <c r="C65" s="61">
        <v>0.0684460410924238</v>
      </c>
    </row>
    <row r="66" spans="1:3" ht="12">
      <c r="A66" s="51" t="s">
        <v>234</v>
      </c>
      <c r="B66">
        <v>-16.7874599228068</v>
      </c>
      <c r="C66">
        <v>-16.1697168085156</v>
      </c>
    </row>
    <row r="67" spans="1:3" ht="12">
      <c r="A67" s="52" t="s">
        <v>215</v>
      </c>
      <c r="B67">
        <v>-15.1187175140621</v>
      </c>
      <c r="C67">
        <v>15.7749166627721</v>
      </c>
    </row>
    <row r="68" spans="1:3" ht="12">
      <c r="A68" s="50" t="s">
        <v>216</v>
      </c>
      <c r="B68">
        <v>0.79846277503372</v>
      </c>
      <c r="C68">
        <v>0.073101570408907</v>
      </c>
    </row>
    <row r="69" spans="1:3" ht="12">
      <c r="A69" s="51" t="s">
        <v>235</v>
      </c>
      <c r="B69">
        <v>-0.925132116353072</v>
      </c>
      <c r="C69">
        <v>-0.294750374037517</v>
      </c>
    </row>
    <row r="70" spans="1:3" ht="12">
      <c r="A70" s="52" t="s">
        <v>215</v>
      </c>
      <c r="B70">
        <v>-15.7534594692488</v>
      </c>
      <c r="C70">
        <v>15.7748817261861</v>
      </c>
    </row>
    <row r="71" spans="1:3" ht="12">
      <c r="A71" s="50" t="s">
        <v>216</v>
      </c>
      <c r="B71">
        <v>0.794982079622232</v>
      </c>
      <c r="C71">
        <v>0.073385195374351</v>
      </c>
    </row>
    <row r="72" spans="1:3" ht="12">
      <c r="A72" s="51" t="s">
        <v>236</v>
      </c>
      <c r="B72">
        <v>-65.0053886739974</v>
      </c>
      <c r="C72">
        <v>-63.7949510287994</v>
      </c>
    </row>
    <row r="73" spans="1:3" ht="12">
      <c r="A73" s="52" t="s">
        <v>215</v>
      </c>
      <c r="B73">
        <v>-28.9776807371105</v>
      </c>
      <c r="C73">
        <v>31.5499163736371</v>
      </c>
    </row>
    <row r="74" spans="1:3" ht="12">
      <c r="A74" s="50" t="s">
        <v>216</v>
      </c>
      <c r="B74">
        <v>0.736982252254788</v>
      </c>
      <c r="C74" s="61">
        <v>-0.00480267642318605</v>
      </c>
    </row>
    <row r="75" spans="1:3" ht="12">
      <c r="A75" s="51" t="s">
        <v>237</v>
      </c>
      <c r="B75">
        <v>-49.1429160519877</v>
      </c>
      <c r="C75">
        <v>-47.9199098303673</v>
      </c>
    </row>
    <row r="76" spans="1:3" ht="12">
      <c r="A76" s="52" t="s">
        <v>215</v>
      </c>
      <c r="B76">
        <v>-29.6125149437331</v>
      </c>
      <c r="C76">
        <v>31.5499854812158</v>
      </c>
    </row>
    <row r="77" spans="1:3" ht="12">
      <c r="A77" s="50" t="s">
        <v>216</v>
      </c>
      <c r="B77">
        <v>0.768959432224328</v>
      </c>
      <c r="C77" s="61">
        <v>0.0335489582594551</v>
      </c>
    </row>
    <row r="78" spans="1:3" ht="12">
      <c r="A78" s="51" t="s">
        <v>238</v>
      </c>
      <c r="B78">
        <v>-33.2805681346087</v>
      </c>
      <c r="C78">
        <v>-32.0448604469022</v>
      </c>
    </row>
    <row r="79" spans="1:3" ht="12">
      <c r="A79" s="52" t="s">
        <v>215</v>
      </c>
      <c r="B79">
        <v>-30.2473500746985</v>
      </c>
      <c r="C79">
        <v>31.55005320383</v>
      </c>
    </row>
    <row r="80" spans="1:3" ht="12">
      <c r="A80" s="50" t="s">
        <v>216</v>
      </c>
      <c r="B80">
        <v>0.786795318653926</v>
      </c>
      <c r="C80" s="61">
        <v>0.0546705532552888</v>
      </c>
    </row>
    <row r="81" spans="1:3" ht="12">
      <c r="A81" s="51" t="s">
        <v>239</v>
      </c>
      <c r="B81">
        <v>-17.4181906618847</v>
      </c>
      <c r="C81">
        <v>-16.1698491342653</v>
      </c>
    </row>
    <row r="82" spans="1:3" ht="12">
      <c r="A82" s="52" t="s">
        <v>215</v>
      </c>
      <c r="B82">
        <v>-30.882090149167</v>
      </c>
      <c r="C82">
        <v>31.5499196490034</v>
      </c>
    </row>
    <row r="83" spans="1:3" ht="12">
      <c r="A83" s="50" t="s">
        <v>216</v>
      </c>
      <c r="B83">
        <v>0.793224951808823</v>
      </c>
      <c r="C83" s="61">
        <v>0.0661354172317423</v>
      </c>
    </row>
    <row r="84" spans="1:3" ht="12">
      <c r="A84" s="51" t="s">
        <v>240</v>
      </c>
      <c r="B84">
        <v>-1.55596173362266</v>
      </c>
      <c r="C84">
        <v>-0.294867883604187</v>
      </c>
    </row>
    <row r="85" spans="1:3" ht="12">
      <c r="A85" s="52" t="s">
        <v>215</v>
      </c>
      <c r="B85">
        <v>-31.5169280634428</v>
      </c>
      <c r="C85">
        <v>31.5498851064335</v>
      </c>
    </row>
    <row r="86" spans="1:4" ht="12">
      <c r="A86" s="50" t="s">
        <v>216</v>
      </c>
      <c r="B86">
        <v>0.792189845789895</v>
      </c>
      <c r="C86" s="61">
        <v>0.0700838076343606</v>
      </c>
      <c r="D86" s="3"/>
    </row>
    <row r="87" spans="1:4" ht="12">
      <c r="A87" s="51" t="s">
        <v>241</v>
      </c>
      <c r="B87">
        <v>1.55693702006369</v>
      </c>
      <c r="C87">
        <v>0.295286288095772</v>
      </c>
      <c r="D87" s="14" t="s">
        <v>242</v>
      </c>
    </row>
    <row r="88" spans="1:3" ht="12">
      <c r="A88" s="52" t="s">
        <v>215</v>
      </c>
      <c r="B88">
        <v>31.5129988269387</v>
      </c>
      <c r="C88">
        <v>-31.5500667819049</v>
      </c>
    </row>
    <row r="89" spans="1:3" ht="12">
      <c r="A89" s="50" t="s">
        <v>216</v>
      </c>
      <c r="B89">
        <v>0.790395010150665</v>
      </c>
      <c r="C89" s="61">
        <v>0.0689443755058901</v>
      </c>
    </row>
    <row r="90" spans="1:3" ht="12">
      <c r="A90" s="51" t="s">
        <v>243</v>
      </c>
      <c r="B90">
        <v>17.4222167563096</v>
      </c>
      <c r="C90">
        <v>16.1730994704825</v>
      </c>
    </row>
    <row r="91" spans="1:3" ht="12">
      <c r="A91" s="52" t="s">
        <v>215</v>
      </c>
      <c r="B91">
        <v>30.87841862573</v>
      </c>
      <c r="C91">
        <v>-31.5498904924328</v>
      </c>
    </row>
    <row r="92" spans="1:3" ht="12">
      <c r="A92" s="50" t="s">
        <v>216</v>
      </c>
      <c r="B92">
        <v>1.78776734870476</v>
      </c>
      <c r="C92">
        <v>1.06412725742742</v>
      </c>
    </row>
    <row r="93" spans="1:3" ht="12">
      <c r="A93" s="51" t="s">
        <v>244</v>
      </c>
      <c r="B93">
        <v>33.2815599549184</v>
      </c>
      <c r="C93">
        <v>32.0450968911031</v>
      </c>
    </row>
    <row r="94" spans="1:3" ht="12">
      <c r="A94" s="52" t="s">
        <v>215</v>
      </c>
      <c r="B94">
        <v>30.2434289996399</v>
      </c>
      <c r="C94">
        <v>-31.5499538272235</v>
      </c>
    </row>
    <row r="95" spans="1:3" ht="12">
      <c r="A95" s="50" t="s">
        <v>216</v>
      </c>
      <c r="B95">
        <v>0.795378197553865</v>
      </c>
      <c r="C95" s="61">
        <v>0.0500518842733434</v>
      </c>
    </row>
    <row r="96" spans="1:3" ht="12">
      <c r="A96" s="51" t="s">
        <v>245</v>
      </c>
      <c r="B96">
        <v>49.1438232123196</v>
      </c>
      <c r="C96">
        <v>47.9200214784094</v>
      </c>
    </row>
    <row r="97" spans="1:3" ht="12">
      <c r="A97" s="52" t="s">
        <v>215</v>
      </c>
      <c r="B97">
        <v>29.6084898052698</v>
      </c>
      <c r="C97">
        <v>-31.5499978358362</v>
      </c>
    </row>
    <row r="98" spans="1:3" ht="12">
      <c r="A98" s="50" t="s">
        <v>216</v>
      </c>
      <c r="B98">
        <v>0.781523166107317</v>
      </c>
      <c r="C98" s="61">
        <v>0.0324509873644867</v>
      </c>
    </row>
    <row r="99" spans="1:3" ht="12">
      <c r="A99" s="51" t="s">
        <v>246</v>
      </c>
      <c r="B99">
        <v>65.0061022760095</v>
      </c>
      <c r="C99">
        <v>63.7950181058844</v>
      </c>
    </row>
    <row r="100" spans="1:3" ht="12">
      <c r="A100" s="52" t="s">
        <v>215</v>
      </c>
      <c r="B100">
        <v>28.9736430391145</v>
      </c>
      <c r="C100">
        <v>-31.5500427302175</v>
      </c>
    </row>
    <row r="101" spans="1:3" ht="12">
      <c r="A101" s="50" t="s">
        <v>216</v>
      </c>
      <c r="B101">
        <v>0.747567796328577</v>
      </c>
      <c r="C101" s="61">
        <v>-0.00514713427233598</v>
      </c>
    </row>
    <row r="102" spans="1:3" ht="12">
      <c r="A102" s="51" t="s">
        <v>247</v>
      </c>
      <c r="B102">
        <v>0.926233850241828</v>
      </c>
      <c r="C102">
        <v>0.295188524424768</v>
      </c>
    </row>
    <row r="103" spans="1:3" ht="12">
      <c r="A103" s="52" t="s">
        <v>215</v>
      </c>
      <c r="B103">
        <v>15.7495347322022</v>
      </c>
      <c r="C103">
        <v>-15.7750572562853</v>
      </c>
    </row>
    <row r="104" spans="1:3" ht="12">
      <c r="A104" s="50" t="s">
        <v>216</v>
      </c>
      <c r="B104">
        <v>0.796521495318253</v>
      </c>
      <c r="C104" s="61">
        <v>0.0727123492194927</v>
      </c>
    </row>
    <row r="105" spans="1:3" ht="12">
      <c r="A105" s="51" t="s">
        <v>248</v>
      </c>
      <c r="B105">
        <v>16.7928474780757</v>
      </c>
      <c r="C105">
        <v>16.1744255417821</v>
      </c>
    </row>
    <row r="106" spans="1:3" ht="12">
      <c r="A106" s="52" t="s">
        <v>215</v>
      </c>
      <c r="B106">
        <v>15.1151831962125</v>
      </c>
      <c r="C106">
        <v>-15.7748212222047</v>
      </c>
    </row>
    <row r="107" spans="1:3" ht="12">
      <c r="A107" s="50" t="s">
        <v>216</v>
      </c>
      <c r="B107">
        <v>2.28080352029622</v>
      </c>
      <c r="C107">
        <v>1.57237506336387</v>
      </c>
    </row>
    <row r="108" spans="1:3" ht="12">
      <c r="A108" s="51" t="s">
        <v>249</v>
      </c>
      <c r="B108">
        <v>32.6508432604881</v>
      </c>
      <c r="C108">
        <v>32.0453501162558</v>
      </c>
    </row>
    <row r="109" spans="1:3" ht="12">
      <c r="A109" s="52" t="s">
        <v>215</v>
      </c>
      <c r="B109">
        <v>14.4798662223849</v>
      </c>
      <c r="C109">
        <v>-15.7750395554914</v>
      </c>
    </row>
    <row r="110" spans="1:3" ht="12">
      <c r="A110" s="50" t="s">
        <v>216</v>
      </c>
      <c r="B110">
        <v>0.803796520041294</v>
      </c>
      <c r="C110" s="61">
        <v>0.0620253072595179</v>
      </c>
    </row>
    <row r="111" spans="1:3" ht="12">
      <c r="A111" s="51" t="s">
        <v>250</v>
      </c>
      <c r="B111">
        <v>48.5131381781614</v>
      </c>
      <c r="C111">
        <v>47.9200673527503</v>
      </c>
    </row>
    <row r="112" spans="1:3" ht="12">
      <c r="A112" s="52" t="s">
        <v>215</v>
      </c>
      <c r="B112">
        <v>13.8451281059001</v>
      </c>
      <c r="C112">
        <v>-15.7749857112432</v>
      </c>
    </row>
    <row r="113" spans="1:3" ht="12">
      <c r="A113" s="50" t="s">
        <v>216</v>
      </c>
      <c r="B113">
        <v>0.795462277436517</v>
      </c>
      <c r="C113" s="61">
        <v>0.0471854643692051</v>
      </c>
    </row>
    <row r="114" spans="1:3" ht="12">
      <c r="A114" s="51" t="s">
        <v>251</v>
      </c>
      <c r="B114">
        <v>64.3753264361386</v>
      </c>
      <c r="C114">
        <v>63.7949673443867</v>
      </c>
    </row>
    <row r="115" spans="1:3" ht="12">
      <c r="A115" s="52" t="s">
        <v>215</v>
      </c>
      <c r="B115">
        <v>13.2103851206974</v>
      </c>
      <c r="C115">
        <v>-15.7751316612864</v>
      </c>
    </row>
    <row r="116" spans="1:3" ht="12">
      <c r="A116" s="50" t="s">
        <v>216</v>
      </c>
      <c r="B116">
        <v>0.763498213012746</v>
      </c>
      <c r="C116" s="61">
        <v>0.0103755520272636</v>
      </c>
    </row>
    <row r="117" spans="1:3" ht="12">
      <c r="A117" s="51" t="s">
        <v>252</v>
      </c>
      <c r="B117">
        <v>0.295394021624952</v>
      </c>
      <c r="C117">
        <v>0.295263000011154</v>
      </c>
    </row>
    <row r="118" spans="1:3" ht="12">
      <c r="A118" s="52" t="s">
        <v>215</v>
      </c>
      <c r="B118" s="61">
        <v>-0.0138651557643137</v>
      </c>
      <c r="C118" s="61">
        <v>5.41817950743259E-05</v>
      </c>
    </row>
    <row r="119" spans="1:3" ht="12">
      <c r="A119" s="50" t="s">
        <v>216</v>
      </c>
      <c r="B119">
        <v>0.789496857748563</v>
      </c>
      <c r="C119" s="61">
        <v>0.0669935253056366</v>
      </c>
    </row>
    <row r="120" spans="1:3" ht="12">
      <c r="A120" s="51" t="s">
        <v>253</v>
      </c>
      <c r="B120">
        <v>16.1606801491172</v>
      </c>
      <c r="C120">
        <v>16.1729435201859</v>
      </c>
    </row>
    <row r="121" spans="1:3" ht="12">
      <c r="A121" s="52" t="s">
        <v>215</v>
      </c>
      <c r="B121">
        <v>-0.648446703440936</v>
      </c>
      <c r="C121" s="61">
        <v>3.17478095847429E-05</v>
      </c>
    </row>
    <row r="122" spans="1:3" ht="12">
      <c r="A122" s="50" t="s">
        <v>216</v>
      </c>
      <c r="B122">
        <v>1.79353362964801</v>
      </c>
      <c r="C122">
        <v>1.07798549562408</v>
      </c>
    </row>
    <row r="123" spans="1:3" ht="12">
      <c r="A123" s="51" t="s">
        <v>254</v>
      </c>
      <c r="B123">
        <v>32.0201023686353</v>
      </c>
      <c r="C123">
        <v>32.0451704015238</v>
      </c>
    </row>
    <row r="124" spans="1:3" ht="12">
      <c r="A124" s="52" t="s">
        <v>215</v>
      </c>
      <c r="B124">
        <v>-1.28344239330509</v>
      </c>
      <c r="C124" s="61">
        <v>-0.000127623201231756</v>
      </c>
    </row>
    <row r="125" spans="1:3" ht="12">
      <c r="A125" s="50" t="s">
        <v>216</v>
      </c>
      <c r="B125">
        <v>0.801171129464395</v>
      </c>
      <c r="C125" s="61">
        <v>0.0622653784367931</v>
      </c>
    </row>
    <row r="126" spans="1:3" ht="12">
      <c r="A126" s="51" t="s">
        <v>255</v>
      </c>
      <c r="B126">
        <v>47.8823057900413</v>
      </c>
      <c r="C126">
        <v>47.9201778619859</v>
      </c>
    </row>
    <row r="127" spans="1:3" ht="12">
      <c r="A127" s="52" t="s">
        <v>215</v>
      </c>
      <c r="B127">
        <v>-1.91828076281754</v>
      </c>
      <c r="C127" s="61">
        <v>3.1204808358565E-05</v>
      </c>
    </row>
    <row r="128" spans="1:3" ht="12">
      <c r="A128" s="50" t="s">
        <v>216</v>
      </c>
      <c r="B128">
        <v>0.793855506457573</v>
      </c>
      <c r="C128" s="61">
        <v>0.0493196182821177</v>
      </c>
    </row>
    <row r="129" spans="1:3" ht="12">
      <c r="A129" s="51" t="s">
        <v>256</v>
      </c>
      <c r="B129">
        <v>63.7445954628594</v>
      </c>
      <c r="C129">
        <v>63.7949852897653</v>
      </c>
    </row>
    <row r="130" spans="1:3" ht="12">
      <c r="A130" s="52" t="s">
        <v>215</v>
      </c>
      <c r="B130">
        <v>-2.5531300850326</v>
      </c>
      <c r="C130" s="61">
        <v>-0.000114118466391109</v>
      </c>
    </row>
    <row r="131" spans="1:3" ht="12">
      <c r="A131" s="50" t="s">
        <v>216</v>
      </c>
      <c r="B131">
        <v>0.763533168721195</v>
      </c>
      <c r="C131" s="61">
        <v>0.0151690723521093</v>
      </c>
    </row>
    <row r="132" spans="1:3" ht="12">
      <c r="A132" s="51" t="s">
        <v>257</v>
      </c>
      <c r="B132">
        <v>-0.335319380191872</v>
      </c>
      <c r="C132">
        <v>0.295172365451607</v>
      </c>
    </row>
    <row r="133" spans="1:3" ht="12">
      <c r="A133" s="52" t="s">
        <v>215</v>
      </c>
      <c r="B133">
        <v>-15.7773378951062</v>
      </c>
      <c r="C133">
        <v>15.7748881741279</v>
      </c>
    </row>
    <row r="134" spans="1:3" ht="12">
      <c r="A134" s="50" t="s">
        <v>216</v>
      </c>
      <c r="B134">
        <v>0.792242820105612</v>
      </c>
      <c r="C134" s="61">
        <v>0.0725821939554841</v>
      </c>
    </row>
    <row r="135" spans="1:3" ht="12">
      <c r="A135" s="51" t="s">
        <v>258</v>
      </c>
      <c r="B135">
        <v>15.5312933070273</v>
      </c>
      <c r="C135">
        <v>16.174283089164</v>
      </c>
    </row>
    <row r="136" spans="1:3" ht="12">
      <c r="A136" s="52" t="s">
        <v>215</v>
      </c>
      <c r="B136">
        <v>-16.4116923984018</v>
      </c>
      <c r="C136">
        <v>15.7752284013622</v>
      </c>
    </row>
    <row r="137" spans="1:3" ht="12">
      <c r="A137" s="50" t="s">
        <v>216</v>
      </c>
      <c r="B137">
        <v>2.28071613907492</v>
      </c>
      <c r="C137">
        <v>1.55589560728616</v>
      </c>
    </row>
    <row r="138" spans="1:3" ht="12">
      <c r="A138" s="51" t="s">
        <v>259</v>
      </c>
      <c r="B138">
        <v>31.3892584973537</v>
      </c>
      <c r="C138">
        <v>32.0453011187062</v>
      </c>
    </row>
    <row r="139" spans="1:3" ht="12">
      <c r="A139" s="52" t="s">
        <v>215</v>
      </c>
      <c r="B139">
        <v>-17.0468146755707</v>
      </c>
      <c r="C139">
        <v>15.7749200174531</v>
      </c>
    </row>
    <row r="140" spans="1:3" ht="12">
      <c r="A140" s="50" t="s">
        <v>216</v>
      </c>
      <c r="B140">
        <v>0.798262718584983</v>
      </c>
      <c r="C140" s="61">
        <v>0.0667651428687822</v>
      </c>
    </row>
    <row r="141" spans="1:3" ht="12">
      <c r="A141" s="51" t="s">
        <v>260</v>
      </c>
      <c r="B141">
        <v>47.2515592691061</v>
      </c>
      <c r="C141">
        <v>47.9200864976293</v>
      </c>
    </row>
    <row r="142" spans="1:3" ht="12">
      <c r="A142" s="52" t="s">
        <v>215</v>
      </c>
      <c r="B142">
        <v>-17.6815588609831</v>
      </c>
      <c r="C142">
        <v>15.774881537173</v>
      </c>
    </row>
    <row r="143" spans="1:3" ht="12">
      <c r="A143" s="50" t="s">
        <v>216</v>
      </c>
      <c r="B143">
        <v>0.785975035142963</v>
      </c>
      <c r="C143" s="61">
        <v>0.0501078160087366</v>
      </c>
    </row>
    <row r="144" spans="1:3" ht="12">
      <c r="A144" s="51" t="s">
        <v>261</v>
      </c>
      <c r="B144">
        <v>63.113738610875</v>
      </c>
      <c r="C144">
        <v>63.7949822866495</v>
      </c>
    </row>
    <row r="145" spans="1:3" ht="12">
      <c r="A145" s="52" t="s">
        <v>215</v>
      </c>
      <c r="B145">
        <v>-18.3164067489614</v>
      </c>
      <c r="C145">
        <v>15.775042589203</v>
      </c>
    </row>
    <row r="146" spans="1:3" ht="12">
      <c r="A146" s="50" t="s">
        <v>216</v>
      </c>
      <c r="B146">
        <v>0.752146352696953</v>
      </c>
      <c r="C146" s="61">
        <v>0.0130623337581677</v>
      </c>
    </row>
    <row r="147" spans="1:3" ht="12">
      <c r="A147" s="51" t="s">
        <v>262</v>
      </c>
      <c r="B147">
        <v>-0.96624198382515</v>
      </c>
      <c r="C147">
        <v>0.29516075788646</v>
      </c>
    </row>
    <row r="148" spans="1:3" ht="12">
      <c r="A148" s="52" t="s">
        <v>215</v>
      </c>
      <c r="B148">
        <v>-31.5406032895235</v>
      </c>
      <c r="C148">
        <v>31.549892954068</v>
      </c>
    </row>
    <row r="149" spans="1:3" ht="12">
      <c r="A149" s="50" t="s">
        <v>216</v>
      </c>
      <c r="B149">
        <v>0.789594623833693</v>
      </c>
      <c r="C149" s="61">
        <v>0.0713905065319661</v>
      </c>
    </row>
    <row r="150" spans="1:3" ht="12">
      <c r="A150" s="51" t="s">
        <v>263</v>
      </c>
      <c r="B150">
        <v>14.8989648533228</v>
      </c>
      <c r="C150">
        <v>16.1728905495534</v>
      </c>
    </row>
    <row r="151" spans="1:3" ht="12">
      <c r="A151" s="52" t="s">
        <v>215</v>
      </c>
      <c r="B151">
        <v>-32.1752907578316</v>
      </c>
      <c r="C151">
        <v>31.5499744396386</v>
      </c>
    </row>
    <row r="152" spans="1:3" ht="12">
      <c r="A152" s="50" t="s">
        <v>216</v>
      </c>
      <c r="B152">
        <v>1.77234702506982</v>
      </c>
      <c r="C152">
        <v>1.05731019632573</v>
      </c>
    </row>
    <row r="153" spans="1:3" ht="12">
      <c r="A153" s="51" t="s">
        <v>264</v>
      </c>
      <c r="B153">
        <v>30.758363539677</v>
      </c>
      <c r="C153">
        <v>32.0452082681821</v>
      </c>
    </row>
    <row r="154" spans="1:3" ht="12">
      <c r="A154" s="52" t="s">
        <v>215</v>
      </c>
      <c r="B154">
        <v>-32.8102869198706</v>
      </c>
      <c r="C154">
        <v>31.5500234690068</v>
      </c>
    </row>
    <row r="155" spans="1:3" ht="12">
      <c r="A155" s="50" t="s">
        <v>216</v>
      </c>
      <c r="B155">
        <v>0.779106718309487</v>
      </c>
      <c r="C155" s="61">
        <v>0.0631007436939241</v>
      </c>
    </row>
    <row r="156" spans="1:3" ht="12">
      <c r="A156" s="51" t="s">
        <v>265</v>
      </c>
      <c r="B156">
        <v>46.6205554081408</v>
      </c>
      <c r="C156">
        <v>47.9200661144193</v>
      </c>
    </row>
    <row r="157" spans="1:3" ht="12">
      <c r="A157" s="52" t="s">
        <v>215</v>
      </c>
      <c r="B157">
        <v>-33.4451293411221</v>
      </c>
      <c r="C157">
        <v>31.5499853159699</v>
      </c>
    </row>
    <row r="158" spans="1:3" ht="12">
      <c r="A158" s="50" t="s">
        <v>216</v>
      </c>
      <c r="B158">
        <v>0.761898294129112</v>
      </c>
      <c r="C158" s="61">
        <v>0.0415831159569139</v>
      </c>
    </row>
    <row r="159" spans="1:3" ht="12">
      <c r="A159" s="51" t="s">
        <v>266</v>
      </c>
      <c r="B159">
        <v>62.4827336306183</v>
      </c>
      <c r="C159">
        <v>63.7950561283635</v>
      </c>
    </row>
    <row r="160" spans="1:3" ht="12">
      <c r="A160" s="52" t="s">
        <v>215</v>
      </c>
      <c r="B160">
        <v>-34.0798776628126</v>
      </c>
      <c r="C160">
        <v>31.5500471468968</v>
      </c>
    </row>
    <row r="161" spans="1:7" ht="12">
      <c r="A161" s="50" t="s">
        <v>216</v>
      </c>
      <c r="B161">
        <v>0.726583736814997</v>
      </c>
      <c r="C161" s="61">
        <v>0.00206500440033278</v>
      </c>
      <c r="D161" s="3"/>
      <c r="E161" s="3"/>
      <c r="F161" s="3"/>
      <c r="G161" s="3"/>
    </row>
    <row r="162" spans="1:6" ht="12">
      <c r="A162" s="55" t="s">
        <v>267</v>
      </c>
      <c r="B162">
        <v>-0.719789006150267</v>
      </c>
      <c r="C162">
        <v>-0.720060141987802</v>
      </c>
      <c r="D162">
        <f aca="true" t="shared" si="0" ref="D162:E164">AVERAGE(B162,B165,B168)</f>
        <v>-0.7105872446329696</v>
      </c>
      <c r="E162">
        <f t="shared" si="0"/>
        <v>-0.7107075270278513</v>
      </c>
      <c r="F162" t="s">
        <v>268</v>
      </c>
    </row>
    <row r="163" spans="1:5" ht="12">
      <c r="A163" s="56" t="s">
        <v>215</v>
      </c>
      <c r="B163">
        <v>-35.7429016350056</v>
      </c>
      <c r="C163">
        <v>35.7426590458623</v>
      </c>
      <c r="D163">
        <f t="shared" si="0"/>
        <v>-35.50953953168217</v>
      </c>
      <c r="E163">
        <f t="shared" si="0"/>
        <v>35.509422944007966</v>
      </c>
    </row>
    <row r="164" spans="1:5" ht="12">
      <c r="A164" s="57" t="s">
        <v>216</v>
      </c>
      <c r="B164">
        <v>0.684774941285065</v>
      </c>
      <c r="C164" s="61">
        <v>-0.0365706675629142</v>
      </c>
      <c r="D164">
        <f t="shared" si="0"/>
        <v>0.6874388661213816</v>
      </c>
      <c r="E164">
        <f t="shared" si="0"/>
        <v>-0.03852279121703276</v>
      </c>
    </row>
    <row r="165" spans="1:3" ht="12">
      <c r="A165" s="55" t="s">
        <v>269</v>
      </c>
      <c r="B165">
        <v>-0.905882507318763</v>
      </c>
      <c r="C165">
        <v>-0.905753104179688</v>
      </c>
    </row>
    <row r="166" spans="1:3" ht="12">
      <c r="A166" s="56" t="s">
        <v>215</v>
      </c>
      <c r="B166">
        <v>-35.3849255564708</v>
      </c>
      <c r="C166">
        <v>35.3847999700676</v>
      </c>
    </row>
    <row r="167" spans="1:3" ht="12">
      <c r="A167" s="57" t="s">
        <v>216</v>
      </c>
      <c r="B167">
        <v>0.687637869960529</v>
      </c>
      <c r="C167" s="61">
        <v>-0.0415529219250891</v>
      </c>
    </row>
    <row r="168" spans="1:3" ht="12">
      <c r="A168" s="55" t="s">
        <v>270</v>
      </c>
      <c r="B168">
        <v>-0.506090220429879</v>
      </c>
      <c r="C168">
        <v>-0.506309334916064</v>
      </c>
    </row>
    <row r="169" spans="1:3" ht="12">
      <c r="A169" s="56" t="s">
        <v>215</v>
      </c>
      <c r="B169">
        <v>-35.4007914035701</v>
      </c>
      <c r="C169">
        <v>35.400809816094</v>
      </c>
    </row>
    <row r="170" spans="1:7" ht="12">
      <c r="A170" s="57" t="s">
        <v>216</v>
      </c>
      <c r="B170">
        <v>0.689903787118551</v>
      </c>
      <c r="C170">
        <v>-0.037444784163095</v>
      </c>
      <c r="D170" s="3"/>
      <c r="E170" s="3"/>
      <c r="F170" s="3"/>
      <c r="G170" s="3"/>
    </row>
    <row r="171" spans="1:6" ht="12">
      <c r="A171" s="51" t="s">
        <v>271</v>
      </c>
      <c r="B171">
        <v>-10.3176505174768</v>
      </c>
      <c r="C171">
        <v>-10.3177804757235</v>
      </c>
      <c r="D171">
        <f aca="true" t="shared" si="1" ref="D171:E173">AVERAGE(B171,B174,B183,B186)</f>
        <v>-5.758672458963697</v>
      </c>
      <c r="E171">
        <f t="shared" si="1"/>
        <v>-5.758717058351902</v>
      </c>
      <c r="F171" t="s">
        <v>272</v>
      </c>
    </row>
    <row r="172" spans="1:5" ht="12">
      <c r="A172" s="52" t="s">
        <v>215</v>
      </c>
      <c r="B172">
        <v>34.2132134286917</v>
      </c>
      <c r="C172">
        <v>-34.2133471787562</v>
      </c>
      <c r="D172">
        <f t="shared" si="1"/>
        <v>37.122565111056126</v>
      </c>
      <c r="E172">
        <f t="shared" si="1"/>
        <v>-37.12268764300128</v>
      </c>
    </row>
    <row r="173" spans="1:7" ht="12">
      <c r="A173" s="50" t="s">
        <v>216</v>
      </c>
      <c r="B173">
        <v>0.711367435321893</v>
      </c>
      <c r="C173" s="61">
        <v>-0.0538249194661321</v>
      </c>
      <c r="D173" s="3">
        <f t="shared" si="1"/>
        <v>0.7018206634754468</v>
      </c>
      <c r="E173" s="3">
        <f t="shared" si="1"/>
        <v>-0.04403918933992687</v>
      </c>
      <c r="F173" s="3"/>
      <c r="G173" s="3"/>
    </row>
    <row r="174" spans="1:6" ht="12">
      <c r="A174" s="51" t="s">
        <v>273</v>
      </c>
      <c r="B174">
        <v>-10.1977604523891</v>
      </c>
      <c r="C174">
        <v>-10.1978343181984</v>
      </c>
      <c r="D174">
        <f aca="true" t="shared" si="2" ref="D174:E176">AVERAGE(B189,B192,B201,B204)</f>
        <v>39.23727195991903</v>
      </c>
      <c r="E174">
        <f t="shared" si="2"/>
        <v>39.237259290018855</v>
      </c>
      <c r="F174" s="14" t="s">
        <v>274</v>
      </c>
    </row>
    <row r="175" spans="1:5" ht="12">
      <c r="A175" s="52" t="s">
        <v>215</v>
      </c>
      <c r="B175">
        <v>40.2118681248741</v>
      </c>
      <c r="C175">
        <v>-40.2120606725812</v>
      </c>
      <c r="D175">
        <f t="shared" si="2"/>
        <v>36.472521741253175</v>
      </c>
      <c r="E175">
        <f t="shared" si="2"/>
        <v>-36.472640314988254</v>
      </c>
    </row>
    <row r="176" spans="1:7" ht="12">
      <c r="A176" s="50" t="s">
        <v>216</v>
      </c>
      <c r="B176">
        <v>0.70735356840811</v>
      </c>
      <c r="C176" s="61">
        <v>-0.0433626457258531</v>
      </c>
      <c r="D176" s="3">
        <f t="shared" si="2"/>
        <v>0.6795604323699467</v>
      </c>
      <c r="E176" s="3">
        <f t="shared" si="2"/>
        <v>-0.03637847492324928</v>
      </c>
      <c r="F176" s="3"/>
      <c r="G176" s="3"/>
    </row>
    <row r="177" spans="1:6" ht="12">
      <c r="A177" s="51" t="s">
        <v>275</v>
      </c>
      <c r="B177">
        <v>-5.54780839137443</v>
      </c>
      <c r="C177">
        <v>-5.00001635226238</v>
      </c>
      <c r="D177">
        <f aca="true" t="shared" si="3" ref="D177:E179">AVERAGE(B171,B186)</f>
        <v>-5.81866482121301</v>
      </c>
      <c r="E177">
        <f t="shared" si="3"/>
        <v>-5.818662843029751</v>
      </c>
      <c r="F177" t="s">
        <v>276</v>
      </c>
    </row>
    <row r="178" spans="1:5" ht="12">
      <c r="A178" s="52" t="s">
        <v>215</v>
      </c>
      <c r="B178">
        <v>47.7204225489929</v>
      </c>
      <c r="C178">
        <v>-47.7206123530997</v>
      </c>
      <c r="D178">
        <f t="shared" si="3"/>
        <v>34.12321471120805</v>
      </c>
      <c r="E178">
        <f t="shared" si="3"/>
        <v>-34.123330510784555</v>
      </c>
    </row>
    <row r="179" spans="1:5" ht="12">
      <c r="A179" s="50" t="s">
        <v>216</v>
      </c>
      <c r="B179">
        <v>0.680378772556749</v>
      </c>
      <c r="C179" s="61">
        <v>-0.0200917429525101</v>
      </c>
      <c r="D179">
        <f t="shared" si="3"/>
        <v>0.7049995112830515</v>
      </c>
      <c r="E179">
        <f t="shared" si="3"/>
        <v>-0.048450737226116744</v>
      </c>
    </row>
    <row r="180" spans="1:5" ht="12">
      <c r="A180" s="51" t="s">
        <v>277</v>
      </c>
      <c r="B180">
        <v>-1.04972517889173</v>
      </c>
      <c r="C180">
        <v>-1.04954161195719</v>
      </c>
      <c r="D180">
        <f aca="true" t="shared" si="4" ref="D180:E182">AVERAGE(B174,B183)</f>
        <v>-5.6986800967143845</v>
      </c>
      <c r="E180">
        <f t="shared" si="4"/>
        <v>-5.698771273674055</v>
      </c>
    </row>
    <row r="181" spans="1:5" ht="12">
      <c r="A181" s="52" t="s">
        <v>215</v>
      </c>
      <c r="B181">
        <v>47.530403892811</v>
      </c>
      <c r="C181">
        <v>-47.5306178593897</v>
      </c>
      <c r="D181">
        <f t="shared" si="4"/>
        <v>40.1219155109042</v>
      </c>
      <c r="E181">
        <f t="shared" si="4"/>
        <v>-40.122044775218</v>
      </c>
    </row>
    <row r="182" spans="1:5" ht="12">
      <c r="A182" s="50" t="s">
        <v>216</v>
      </c>
      <c r="B182">
        <v>0.67912325125978</v>
      </c>
      <c r="C182" s="61">
        <v>-0.0204473641102347</v>
      </c>
      <c r="D182">
        <f t="shared" si="4"/>
        <v>0.698641815667842</v>
      </c>
      <c r="E182">
        <f t="shared" si="4"/>
        <v>-0.039627641453737</v>
      </c>
    </row>
    <row r="183" spans="1:5" ht="12">
      <c r="A183" s="51" t="s">
        <v>278</v>
      </c>
      <c r="B183">
        <v>-1.19959974103967</v>
      </c>
      <c r="C183">
        <v>-1.19970822914971</v>
      </c>
      <c r="D183">
        <f aca="true" t="shared" si="5" ref="D183:E185">AVERAGE(B177,B180)</f>
        <v>-3.29876678513308</v>
      </c>
      <c r="E183">
        <f t="shared" si="5"/>
        <v>-3.024778982109785</v>
      </c>
    </row>
    <row r="184" spans="1:5" ht="12">
      <c r="A184" s="52" t="s">
        <v>215</v>
      </c>
      <c r="B184">
        <v>40.0319628969343</v>
      </c>
      <c r="C184">
        <v>-40.0320288778548</v>
      </c>
      <c r="D184">
        <f t="shared" si="5"/>
        <v>47.62541322090195</v>
      </c>
      <c r="E184">
        <f t="shared" si="5"/>
        <v>-47.6256151062447</v>
      </c>
    </row>
    <row r="185" spans="1:7" ht="12">
      <c r="A185" s="50" t="s">
        <v>216</v>
      </c>
      <c r="B185">
        <v>0.689930062927574</v>
      </c>
      <c r="C185" s="61">
        <v>-0.0358926371816209</v>
      </c>
      <c r="D185" s="3">
        <f t="shared" si="5"/>
        <v>0.6797510119082645</v>
      </c>
      <c r="E185" s="3">
        <f t="shared" si="5"/>
        <v>-0.0202695535313724</v>
      </c>
      <c r="F185" s="3"/>
      <c r="G185" s="3"/>
    </row>
    <row r="186" spans="1:6" ht="12">
      <c r="A186" s="51" t="s">
        <v>279</v>
      </c>
      <c r="B186">
        <v>-1.31967912494922</v>
      </c>
      <c r="C186">
        <v>-1.319545210336</v>
      </c>
      <c r="D186">
        <f>AVERAGE(B189,B204)</f>
        <v>39.18224332901789</v>
      </c>
      <c r="E186">
        <f aca="true" t="shared" si="6" ref="D186:E188">AVERAGE(C189,C204)</f>
        <v>39.18227897435935</v>
      </c>
      <c r="F186" t="s">
        <v>280</v>
      </c>
    </row>
    <row r="187" spans="1:5" ht="12">
      <c r="A187" s="52" t="s">
        <v>215</v>
      </c>
      <c r="B187">
        <v>34.0332159937244</v>
      </c>
      <c r="C187">
        <v>-34.0333138428129</v>
      </c>
      <c r="D187">
        <f t="shared" si="6"/>
        <v>33.72303650667275</v>
      </c>
      <c r="E187">
        <f t="shared" si="6"/>
        <v>-33.72319633829445</v>
      </c>
    </row>
    <row r="188" spans="1:5" ht="12">
      <c r="A188" s="50" t="s">
        <v>216</v>
      </c>
      <c r="B188">
        <v>0.69863158724421</v>
      </c>
      <c r="C188" s="61">
        <v>-0.0430765549861014</v>
      </c>
      <c r="D188">
        <f t="shared" si="6"/>
        <v>0.6808502657531175</v>
      </c>
      <c r="E188">
        <f t="shared" si="6"/>
        <v>-0.03713381018514545</v>
      </c>
    </row>
    <row r="189" spans="1:5" ht="12">
      <c r="A189" s="51" t="s">
        <v>281</v>
      </c>
      <c r="B189">
        <v>34.1832486815731</v>
      </c>
      <c r="C189">
        <v>34.1832730616541</v>
      </c>
      <c r="D189">
        <f>AVERAGE(B192,B201)</f>
        <v>39.29230059082015</v>
      </c>
      <c r="E189">
        <f aca="true" t="shared" si="7" ref="D189:E191">AVERAGE(C192,C201)</f>
        <v>39.29223960567835</v>
      </c>
    </row>
    <row r="190" spans="1:5" ht="12">
      <c r="A190" s="52" t="s">
        <v>215</v>
      </c>
      <c r="B190">
        <v>33.8230728181968</v>
      </c>
      <c r="C190">
        <v>-33.8231811498389</v>
      </c>
      <c r="D190">
        <f t="shared" si="7"/>
        <v>39.222006975833594</v>
      </c>
      <c r="E190">
        <f t="shared" si="7"/>
        <v>-39.22208429168205</v>
      </c>
    </row>
    <row r="191" spans="1:5" ht="12">
      <c r="A191" s="50" t="s">
        <v>216</v>
      </c>
      <c r="B191">
        <v>0.689087062637227</v>
      </c>
      <c r="C191" s="61">
        <v>-0.0406071107949627</v>
      </c>
      <c r="D191">
        <f t="shared" si="7"/>
        <v>0.678270598986776</v>
      </c>
      <c r="E191">
        <f t="shared" si="7"/>
        <v>-0.035623139661353095</v>
      </c>
    </row>
    <row r="192" spans="1:5" ht="12">
      <c r="A192" s="51" t="s">
        <v>282</v>
      </c>
      <c r="B192">
        <v>34.7931960905545</v>
      </c>
      <c r="C192">
        <v>34.7931158448108</v>
      </c>
      <c r="D192">
        <f aca="true" t="shared" si="8" ref="D192:E194">AVERAGE(B195,B198)</f>
        <v>35.69249140360225</v>
      </c>
      <c r="E192">
        <f t="shared" si="8"/>
        <v>35.47162219043865</v>
      </c>
    </row>
    <row r="193" spans="1:5" ht="12">
      <c r="A193" s="52" t="s">
        <v>215</v>
      </c>
      <c r="B193">
        <v>39.3119591166156</v>
      </c>
      <c r="C193">
        <v>-39.3121008000762</v>
      </c>
      <c r="D193">
        <f t="shared" si="8"/>
        <v>46.7455003836823</v>
      </c>
      <c r="E193">
        <f t="shared" si="8"/>
        <v>-46.74563923992055</v>
      </c>
    </row>
    <row r="194" spans="1:7" ht="12">
      <c r="A194" s="50" t="s">
        <v>216</v>
      </c>
      <c r="B194">
        <v>0.683412203064293</v>
      </c>
      <c r="C194" s="61">
        <v>-0.0383152604861896</v>
      </c>
      <c r="D194" s="3">
        <f t="shared" si="8"/>
        <v>0.6765964615316955</v>
      </c>
      <c r="E194" s="3">
        <f t="shared" si="8"/>
        <v>-0.0298588042701039</v>
      </c>
      <c r="F194" s="3"/>
      <c r="G194" s="3"/>
    </row>
    <row r="195" spans="1:6" ht="12">
      <c r="A195" s="51" t="s">
        <v>283</v>
      </c>
      <c r="B195">
        <v>34.9431710047981</v>
      </c>
      <c r="C195">
        <v>34.9431704775286</v>
      </c>
      <c r="D195">
        <f aca="true" t="shared" si="9" ref="D195:D200">B207</f>
        <v>15.2970664499357</v>
      </c>
      <c r="F195" t="s">
        <v>284</v>
      </c>
    </row>
    <row r="196" spans="1:4" ht="12">
      <c r="A196" s="52" t="s">
        <v>215</v>
      </c>
      <c r="B196">
        <v>46.8105126693248</v>
      </c>
      <c r="C196">
        <v>-46.8105916846223</v>
      </c>
      <c r="D196">
        <f t="shared" si="9"/>
        <v>39.7019616938967</v>
      </c>
    </row>
    <row r="197" spans="1:4" ht="12">
      <c r="A197" s="50" t="s">
        <v>216</v>
      </c>
      <c r="B197">
        <v>0.676221286396376</v>
      </c>
      <c r="C197" s="61">
        <v>-0.0300813888483444</v>
      </c>
      <c r="D197">
        <f t="shared" si="9"/>
        <v>0.685492205682721</v>
      </c>
    </row>
    <row r="198" spans="1:4" ht="12">
      <c r="A198" s="51" t="s">
        <v>285</v>
      </c>
      <c r="B198">
        <v>36.4418118024064</v>
      </c>
      <c r="C198">
        <v>36.0000739033487</v>
      </c>
      <c r="D198">
        <f t="shared" si="9"/>
        <v>15.4469376497153</v>
      </c>
    </row>
    <row r="199" spans="1:4" ht="12">
      <c r="A199" s="52" t="s">
        <v>215</v>
      </c>
      <c r="B199">
        <v>46.6804880980398</v>
      </c>
      <c r="C199">
        <v>-46.6806867952188</v>
      </c>
      <c r="D199">
        <f t="shared" si="9"/>
        <v>47.2004030458442</v>
      </c>
    </row>
    <row r="200" spans="1:7" ht="12">
      <c r="A200" s="50" t="s">
        <v>216</v>
      </c>
      <c r="B200">
        <v>0.676971636667015</v>
      </c>
      <c r="C200" s="61">
        <v>-0.0296362196918634</v>
      </c>
      <c r="D200" s="3">
        <f t="shared" si="9"/>
        <v>0.675381729212972</v>
      </c>
      <c r="E200" s="3"/>
      <c r="F200" s="3"/>
      <c r="G200" s="3"/>
    </row>
    <row r="201" spans="1:3" ht="12">
      <c r="A201" s="51" t="s">
        <v>286</v>
      </c>
      <c r="B201">
        <v>43.7914050910858</v>
      </c>
      <c r="C201">
        <v>43.7913633665459</v>
      </c>
    </row>
    <row r="202" spans="1:3" ht="12">
      <c r="A202" s="52" t="s">
        <v>215</v>
      </c>
      <c r="B202">
        <v>39.1320548350516</v>
      </c>
      <c r="C202">
        <v>-39.1320677832879</v>
      </c>
    </row>
    <row r="203" spans="1:3" ht="12">
      <c r="A203" s="50" t="s">
        <v>216</v>
      </c>
      <c r="B203">
        <v>0.673128994909259</v>
      </c>
      <c r="C203" s="61">
        <v>-0.0329310188365166</v>
      </c>
    </row>
    <row r="204" spans="1:3" ht="12">
      <c r="A204" s="51" t="s">
        <v>287</v>
      </c>
      <c r="B204">
        <v>44.1812379764627</v>
      </c>
      <c r="C204">
        <v>44.1812848870646</v>
      </c>
    </row>
    <row r="205" spans="1:3" ht="12">
      <c r="A205" s="52" t="s">
        <v>215</v>
      </c>
      <c r="B205">
        <v>33.6230001951487</v>
      </c>
      <c r="C205">
        <v>-33.62321152675</v>
      </c>
    </row>
    <row r="206" spans="1:3" ht="12">
      <c r="A206" s="50" t="s">
        <v>216</v>
      </c>
      <c r="B206">
        <v>0.672613468869008</v>
      </c>
      <c r="C206" s="61">
        <v>-0.0336605095753282</v>
      </c>
    </row>
    <row r="207" spans="1:3" ht="12">
      <c r="A207" s="51" t="s">
        <v>288</v>
      </c>
      <c r="B207">
        <v>15.2970664499357</v>
      </c>
      <c r="C207">
        <v>0</v>
      </c>
    </row>
    <row r="208" spans="1:3" ht="12">
      <c r="A208" s="52" t="s">
        <v>215</v>
      </c>
      <c r="B208">
        <v>39.7019616938967</v>
      </c>
      <c r="C208">
        <v>0</v>
      </c>
    </row>
    <row r="209" spans="1:3" ht="12">
      <c r="A209" s="50" t="s">
        <v>216</v>
      </c>
      <c r="B209">
        <v>0.685492205682721</v>
      </c>
      <c r="C209">
        <v>0</v>
      </c>
    </row>
    <row r="210" spans="1:3" ht="12">
      <c r="A210" s="51" t="s">
        <v>289</v>
      </c>
      <c r="B210">
        <v>15.4469376497153</v>
      </c>
      <c r="C210">
        <v>0</v>
      </c>
    </row>
    <row r="211" spans="1:3" ht="12">
      <c r="A211" s="52" t="s">
        <v>215</v>
      </c>
      <c r="B211">
        <v>47.2004030458442</v>
      </c>
      <c r="C211">
        <v>0</v>
      </c>
    </row>
    <row r="212" spans="1:7" ht="12">
      <c r="A212" s="50" t="s">
        <v>216</v>
      </c>
      <c r="B212">
        <v>0.675381729212972</v>
      </c>
      <c r="C212">
        <v>0</v>
      </c>
      <c r="D212" s="3"/>
      <c r="E212" s="3"/>
      <c r="F212" s="3"/>
      <c r="G212" s="3"/>
    </row>
    <row r="213" spans="1:4" ht="10.5">
      <c r="A213" s="62" t="s">
        <v>290</v>
      </c>
      <c r="B213">
        <v>7.92550686361975</v>
      </c>
      <c r="C213">
        <v>6.06174141816701</v>
      </c>
      <c r="D213" t="s">
        <v>291</v>
      </c>
    </row>
    <row r="214" spans="1:4" ht="10.5">
      <c r="A214" s="63" t="s">
        <v>128</v>
      </c>
      <c r="B214">
        <v>32.1500538837986</v>
      </c>
      <c r="C214">
        <v>-34.0668618182131</v>
      </c>
      <c r="D214" t="s">
        <v>128</v>
      </c>
    </row>
    <row r="215" spans="1:4" ht="10.5">
      <c r="A215" s="64" t="s">
        <v>292</v>
      </c>
      <c r="B215">
        <v>1.76612384593895</v>
      </c>
      <c r="C215">
        <v>1.03071438320685</v>
      </c>
      <c r="D215" t="s">
        <v>292</v>
      </c>
    </row>
    <row r="216" spans="1:4" ht="10.5">
      <c r="A216" s="62" t="s">
        <v>293</v>
      </c>
      <c r="B216">
        <v>26.2537901769112</v>
      </c>
      <c r="C216">
        <v>24.8442878819606</v>
      </c>
      <c r="D216" t="s">
        <v>294</v>
      </c>
    </row>
    <row r="217" spans="1:4" ht="10.5">
      <c r="A217" s="63" t="s">
        <v>128</v>
      </c>
      <c r="B217">
        <v>33.6019413909727</v>
      </c>
      <c r="C217">
        <v>-31.5160456587351</v>
      </c>
      <c r="D217" t="s">
        <v>128</v>
      </c>
    </row>
    <row r="218" spans="1:4" ht="10.5">
      <c r="A218" s="64" t="s">
        <v>292</v>
      </c>
      <c r="B218">
        <v>1.76809961335299</v>
      </c>
      <c r="C218">
        <v>1.03051082664583</v>
      </c>
      <c r="D218" t="s">
        <v>292</v>
      </c>
    </row>
    <row r="219" spans="1:4" ht="10.5">
      <c r="A219" s="62" t="s">
        <v>295</v>
      </c>
      <c r="B219">
        <v>8.63204448457499</v>
      </c>
      <c r="C219">
        <v>8.55020295949023</v>
      </c>
      <c r="D219" t="s">
        <v>296</v>
      </c>
    </row>
    <row r="220" spans="1:4" ht="10.5">
      <c r="A220" s="63" t="s">
        <v>128</v>
      </c>
      <c r="B220">
        <v>-0.294967827994007</v>
      </c>
      <c r="C220" s="61">
        <v>-0.0594225033368094</v>
      </c>
      <c r="D220" t="s">
        <v>128</v>
      </c>
    </row>
    <row r="221" spans="1:4" ht="10.5">
      <c r="A221" s="64" t="s">
        <v>292</v>
      </c>
      <c r="B221">
        <v>1.75407323991335</v>
      </c>
      <c r="C221">
        <v>1.05261842809057</v>
      </c>
      <c r="D221" t="s">
        <v>292</v>
      </c>
    </row>
    <row r="222" spans="1:4" ht="10.5">
      <c r="A222" s="62" t="s">
        <v>297</v>
      </c>
      <c r="B222">
        <v>24.7702221208639</v>
      </c>
      <c r="C222">
        <v>23.0228061611977</v>
      </c>
      <c r="D222" t="s">
        <v>298</v>
      </c>
    </row>
    <row r="223" spans="1:4" ht="10.5">
      <c r="A223" s="63" t="s">
        <v>128</v>
      </c>
      <c r="B223">
        <v>-0.976372552235165</v>
      </c>
      <c r="C223" s="61">
        <v>-0.0615480880144143</v>
      </c>
      <c r="D223" t="s">
        <v>128</v>
      </c>
    </row>
    <row r="224" spans="1:4" ht="10.5">
      <c r="A224" s="64" t="s">
        <v>292</v>
      </c>
      <c r="B224">
        <v>1.66968363693662</v>
      </c>
      <c r="C224">
        <v>0.995146389576113</v>
      </c>
      <c r="D224" t="s">
        <v>292</v>
      </c>
    </row>
    <row r="225" spans="1:4" ht="10.5">
      <c r="A225" s="62" t="s">
        <v>299</v>
      </c>
      <c r="B225">
        <v>5.19604378580436</v>
      </c>
      <c r="C225">
        <v>6.52568467538026</v>
      </c>
      <c r="D225" t="s">
        <v>300</v>
      </c>
    </row>
    <row r="226" spans="1:4" ht="10.5">
      <c r="A226" s="63" t="s">
        <v>128</v>
      </c>
      <c r="B226">
        <v>-32.6283278849203</v>
      </c>
      <c r="C226">
        <v>34.5899004818309</v>
      </c>
      <c r="D226" t="s">
        <v>128</v>
      </c>
    </row>
    <row r="227" spans="1:4" ht="10.5">
      <c r="A227" s="64" t="s">
        <v>292</v>
      </c>
      <c r="B227">
        <v>1.76342106037609</v>
      </c>
      <c r="C227">
        <v>1.02978898786532</v>
      </c>
      <c r="D227" t="s">
        <v>292</v>
      </c>
    </row>
    <row r="228" spans="1:4" ht="10.5">
      <c r="A228" s="62" t="s">
        <v>301</v>
      </c>
      <c r="B228">
        <v>23.4903078556142</v>
      </c>
      <c r="C228">
        <v>24.3434027626671</v>
      </c>
      <c r="D228" t="s">
        <v>302</v>
      </c>
    </row>
    <row r="229" spans="1:4" ht="10.5">
      <c r="A229" s="63" t="s">
        <v>128</v>
      </c>
      <c r="B229">
        <v>-32.8841988970447</v>
      </c>
      <c r="C229">
        <v>34.5131013405452</v>
      </c>
      <c r="D229" t="s">
        <v>128</v>
      </c>
    </row>
    <row r="230" spans="1:4" ht="10.5">
      <c r="A230" s="64" t="s">
        <v>292</v>
      </c>
      <c r="B230">
        <v>1.74251411185645</v>
      </c>
      <c r="C230">
        <v>1.03990402499359</v>
      </c>
      <c r="D230" t="s">
        <v>292</v>
      </c>
    </row>
    <row r="231" spans="1:4" ht="10.5">
      <c r="A231" s="62" t="s">
        <v>303</v>
      </c>
      <c r="B231">
        <v>6.13695670140037</v>
      </c>
      <c r="C231">
        <v>7.67102584144579</v>
      </c>
      <c r="D231" t="s">
        <v>304</v>
      </c>
    </row>
    <row r="232" spans="1:4" ht="10.5">
      <c r="A232" s="63" t="s">
        <v>128</v>
      </c>
      <c r="B232">
        <v>-36.3678180961291</v>
      </c>
      <c r="C232">
        <v>36.1273816461874</v>
      </c>
      <c r="D232" t="s">
        <v>128</v>
      </c>
    </row>
    <row r="233" spans="1:4" ht="10.5">
      <c r="A233" s="64" t="s">
        <v>292</v>
      </c>
      <c r="B233">
        <v>2.89198664480403</v>
      </c>
      <c r="C233">
        <v>2.15907947018536</v>
      </c>
      <c r="D233" t="s">
        <v>292</v>
      </c>
    </row>
    <row r="234" spans="1:4" ht="10.5">
      <c r="A234" s="62" t="s">
        <v>305</v>
      </c>
      <c r="B234">
        <v>7.98811265367451</v>
      </c>
      <c r="C234">
        <v>9.35198044356873</v>
      </c>
      <c r="D234" t="s">
        <v>306</v>
      </c>
    </row>
    <row r="235" spans="1:4" ht="10.5">
      <c r="A235" s="63" t="s">
        <v>128</v>
      </c>
      <c r="B235">
        <v>-33.7313943516051</v>
      </c>
      <c r="C235">
        <v>33.3477609479827</v>
      </c>
      <c r="D235" t="s">
        <v>128</v>
      </c>
    </row>
    <row r="236" spans="1:4" ht="10.5">
      <c r="A236" s="64" t="s">
        <v>292</v>
      </c>
      <c r="B236">
        <v>2.99227705265854</v>
      </c>
      <c r="C236">
        <v>2.27274674937325</v>
      </c>
      <c r="D236" t="s">
        <v>292</v>
      </c>
    </row>
    <row r="237" spans="1:4" ht="10.5">
      <c r="A237" s="62" t="s">
        <v>307</v>
      </c>
      <c r="B237">
        <v>18.4681183587422</v>
      </c>
      <c r="C237">
        <v>19.8968286865846</v>
      </c>
      <c r="D237" t="s">
        <v>308</v>
      </c>
    </row>
    <row r="238" spans="1:4" ht="10.5">
      <c r="A238" s="63" t="s">
        <v>128</v>
      </c>
      <c r="B238">
        <v>-34.0256545627202</v>
      </c>
      <c r="C238">
        <v>33.3359254553513</v>
      </c>
      <c r="D238" t="s">
        <v>128</v>
      </c>
    </row>
    <row r="239" spans="1:4" ht="10.5">
      <c r="A239" s="64" t="s">
        <v>292</v>
      </c>
      <c r="B239">
        <v>2.9840645128761</v>
      </c>
      <c r="C239">
        <v>2.25942843141715</v>
      </c>
      <c r="D239" t="s">
        <v>292</v>
      </c>
    </row>
    <row r="243" ht="10.5">
      <c r="B243">
        <v>7.98811265367451</v>
      </c>
    </row>
    <row r="244" ht="10.5">
      <c r="B244">
        <v>-33.7313943516051</v>
      </c>
    </row>
    <row r="245" ht="10.5">
      <c r="B245">
        <v>2.99227705265854</v>
      </c>
    </row>
  </sheetData>
  <printOptions/>
  <pageMargins left="0.75" right="0.75" top="1" bottom="1" header="0.512" footer="0.512"/>
  <pageSetup orientation="portrait" paperSize="9" scale="80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5"/>
  <sheetViews>
    <sheetView workbookViewId="0" topLeftCell="A37">
      <selection activeCell="A60" sqref="A60"/>
    </sheetView>
  </sheetViews>
  <sheetFormatPr defaultColWidth="9.140625" defaultRowHeight="12"/>
  <cols>
    <col min="1" max="16384" width="12.00390625" style="0" customWidth="1"/>
  </cols>
  <sheetData>
    <row r="1" ht="12">
      <c r="A1" t="s">
        <v>309</v>
      </c>
    </row>
    <row r="2" spans="2:4" ht="12">
      <c r="B2" s="41" t="s">
        <v>310</v>
      </c>
      <c r="D2" s="42" t="s">
        <v>311</v>
      </c>
    </row>
    <row r="3" spans="2:5" ht="12">
      <c r="B3" t="s">
        <v>312</v>
      </c>
      <c r="C3" t="s">
        <v>128</v>
      </c>
      <c r="D3" t="s">
        <v>312</v>
      </c>
      <c r="E3" t="s">
        <v>128</v>
      </c>
    </row>
    <row r="4" spans="1:5" ht="12">
      <c r="A4" s="18">
        <v>1</v>
      </c>
      <c r="B4" s="43">
        <f ca="1">INDIRECT(ADDRESS(12+(ROW()-4)*3+(COLUMN()-2),2,3,TRUE,"RawDataInput"))</f>
        <v>-62.4821065090849</v>
      </c>
      <c r="C4" s="44">
        <f ca="1">INDIRECT(ADDRESS(12+(ROW()-4)*3+(COLUMN()-2),2,3,TRUE,"RawDataInput"))</f>
        <v>34.0759026182884</v>
      </c>
      <c r="D4" s="15">
        <f ca="1">INDIRECT(ADDRESS(12+(ROW()-4)*3+(COLUMN()-4),3,3,TRUE,"RawDataInput"))</f>
        <v>-63.7949930678326</v>
      </c>
      <c r="E4" s="17">
        <f ca="1">INDIRECT(ADDRESS(12+(ROW()-4)*3+(COLUMN()-4),3,3,TRUE,"RawDataInput"))</f>
        <v>-31.5501170481328</v>
      </c>
    </row>
    <row r="5" spans="1:5" ht="12">
      <c r="A5" s="21">
        <f>A4+1</f>
        <v>2</v>
      </c>
      <c r="B5" s="45">
        <f ca="1" t="shared" si="0" ref="B5:C36">INDIRECT(ADDRESS(12+(ROW()-4)*3+(COLUMN()-2),2,3,TRUE,"RawDataInput"))</f>
        <v>-46.6197089139676</v>
      </c>
      <c r="C5" s="46">
        <f ca="1" t="shared" si="0"/>
        <v>33.4410752396803</v>
      </c>
      <c r="D5" s="19">
        <f ca="1" t="shared" si="1" ref="D5:E36">INDIRECT(ADDRESS(12+(ROW()-4)*3+(COLUMN()-4),3,3,TRUE,"RawDataInput"))</f>
        <v>-47.9198925757607</v>
      </c>
      <c r="E5" s="20">
        <f ca="1" t="shared" si="1"/>
        <v>-31.5500542483215</v>
      </c>
    </row>
    <row r="6" spans="1:5" ht="12">
      <c r="A6" s="21">
        <f aca="true" t="shared" si="2" ref="A6:A69">A5+1</f>
        <v>3</v>
      </c>
      <c r="B6" s="45">
        <f ca="1" t="shared" si="0"/>
        <v>-30.7573885027137</v>
      </c>
      <c r="C6" s="46">
        <f ca="1" t="shared" si="0"/>
        <v>32.806344160846</v>
      </c>
      <c r="D6" s="19">
        <f ca="1" t="shared" si="1"/>
        <v>-32.0448138760563</v>
      </c>
      <c r="E6" s="20">
        <f ca="1" t="shared" si="1"/>
        <v>-31.5500932525561</v>
      </c>
    </row>
    <row r="7" spans="1:5" ht="12">
      <c r="A7" s="21">
        <f t="shared" si="2"/>
        <v>4</v>
      </c>
      <c r="B7" s="45">
        <f ca="1" t="shared" si="0"/>
        <v>-14.8951186256227</v>
      </c>
      <c r="C7" s="46">
        <f ca="1" t="shared" si="0"/>
        <v>32.1715114301821</v>
      </c>
      <c r="D7" s="19">
        <f ca="1" t="shared" si="1"/>
        <v>-16.1697049300949</v>
      </c>
      <c r="E7" s="20">
        <f ca="1" t="shared" si="1"/>
        <v>-31.5501326775782</v>
      </c>
    </row>
    <row r="8" spans="1:5" ht="12">
      <c r="A8" s="21">
        <f t="shared" si="2"/>
        <v>5</v>
      </c>
      <c r="B8" s="45">
        <f ca="1" t="shared" si="0"/>
        <v>0.967211323612049</v>
      </c>
      <c r="C8" s="46">
        <f ca="1" t="shared" si="0"/>
        <v>31.5366733684116</v>
      </c>
      <c r="D8" s="19">
        <f ca="1" t="shared" si="1"/>
        <v>-0.294837168512937</v>
      </c>
      <c r="E8" s="20">
        <f ca="1" t="shared" si="1"/>
        <v>-31.5500753064453</v>
      </c>
    </row>
    <row r="9" spans="1:5" ht="12">
      <c r="A9" s="21">
        <f t="shared" si="2"/>
        <v>6</v>
      </c>
      <c r="B9" s="45">
        <f ca="1" t="shared" si="0"/>
        <v>-63.1126784652347</v>
      </c>
      <c r="C9" s="46">
        <f ca="1" t="shared" si="0"/>
        <v>18.312437242667</v>
      </c>
      <c r="D9" s="19">
        <f ca="1" t="shared" si="1"/>
        <v>-63.7948513340073</v>
      </c>
      <c r="E9" s="20">
        <f ca="1" t="shared" si="1"/>
        <v>-15.7750033007856</v>
      </c>
    </row>
    <row r="10" spans="1:5" ht="12">
      <c r="A10" s="21">
        <f t="shared" si="2"/>
        <v>7</v>
      </c>
      <c r="B10" s="45">
        <f ca="1" t="shared" si="0"/>
        <v>-47.2504928405288</v>
      </c>
      <c r="C10" s="46">
        <f ca="1" t="shared" si="0"/>
        <v>17.6777158153007</v>
      </c>
      <c r="D10" s="19">
        <f ca="1" t="shared" si="1"/>
        <v>-47.9198396347687</v>
      </c>
      <c r="E10" s="20">
        <f ca="1" t="shared" si="1"/>
        <v>-15.775041530059</v>
      </c>
    </row>
    <row r="11" spans="1:5" ht="12">
      <c r="A11" s="21">
        <f t="shared" si="2"/>
        <v>8</v>
      </c>
      <c r="B11" s="45">
        <f ca="1" t="shared" si="0"/>
        <v>-31.3881805296297</v>
      </c>
      <c r="C11" s="46">
        <f ca="1" t="shared" si="0"/>
        <v>17.0428838338188</v>
      </c>
      <c r="D11" s="19">
        <f ca="1" t="shared" si="1"/>
        <v>-32.0448834423754</v>
      </c>
      <c r="E11" s="20">
        <f ca="1" t="shared" si="1"/>
        <v>-15.7750823981291</v>
      </c>
    </row>
    <row r="12" spans="1:5" ht="12">
      <c r="A12" s="21">
        <f t="shared" si="2"/>
        <v>9</v>
      </c>
      <c r="B12" s="45">
        <f ca="1" t="shared" si="0"/>
        <v>-15.525813996146</v>
      </c>
      <c r="C12" s="46">
        <f ca="1" t="shared" si="0"/>
        <v>16.4082469288077</v>
      </c>
      <c r="D12" s="19">
        <f ca="1" t="shared" si="1"/>
        <v>-16.1696933431667</v>
      </c>
      <c r="E12" s="20">
        <f ca="1" t="shared" si="1"/>
        <v>-15.7751214639691</v>
      </c>
    </row>
    <row r="13" spans="1:5" ht="12">
      <c r="A13" s="21">
        <f t="shared" si="2"/>
        <v>10</v>
      </c>
      <c r="B13" s="45">
        <f ca="1" t="shared" si="0"/>
        <v>0.336509456898696</v>
      </c>
      <c r="C13" s="46">
        <f ca="1" t="shared" si="0"/>
        <v>15.7733090449332</v>
      </c>
      <c r="D13" s="19">
        <f ca="1" t="shared" si="1"/>
        <v>-0.294736808611198</v>
      </c>
      <c r="E13" s="20">
        <f ca="1" t="shared" si="1"/>
        <v>-15.7750635517256</v>
      </c>
    </row>
    <row r="14" spans="1:5" ht="12">
      <c r="A14" s="21">
        <f t="shared" si="2"/>
        <v>11</v>
      </c>
      <c r="B14" s="45">
        <f ca="1" t="shared" si="0"/>
        <v>-63.743688477455</v>
      </c>
      <c r="C14" s="46">
        <f ca="1" t="shared" si="0"/>
        <v>2.54906025173856</v>
      </c>
      <c r="D14" s="19">
        <f ca="1" t="shared" si="1"/>
        <v>-63.794945702072</v>
      </c>
      <c r="E14" s="20">
        <f ca="1" t="shared" si="1"/>
        <v>1.38550066534508E-06</v>
      </c>
    </row>
    <row r="15" spans="1:5" ht="12">
      <c r="A15" s="21">
        <f t="shared" si="2"/>
        <v>12</v>
      </c>
      <c r="B15" s="45">
        <f ca="1" t="shared" si="0"/>
        <v>-47.8812114926468</v>
      </c>
      <c r="C15" s="46">
        <f ca="1" t="shared" si="0"/>
        <v>1.91432550768618</v>
      </c>
      <c r="D15" s="19">
        <f ca="1" t="shared" si="1"/>
        <v>-47.9198322084721</v>
      </c>
      <c r="E15" s="20">
        <f ca="1" t="shared" si="1"/>
        <v>-0.000134494448910763</v>
      </c>
    </row>
    <row r="16" spans="1:5" ht="12">
      <c r="A16" s="21">
        <f t="shared" si="2"/>
        <v>13</v>
      </c>
      <c r="B16" s="45">
        <f ca="1" t="shared" si="0"/>
        <v>-32.0189034309564</v>
      </c>
      <c r="C16" s="46">
        <f ca="1" t="shared" si="0"/>
        <v>1.279489023357</v>
      </c>
      <c r="D16" s="19">
        <f ca="1" t="shared" si="1"/>
        <v>-32.0447957477032</v>
      </c>
      <c r="E16" s="20">
        <f ca="1" t="shared" si="1"/>
        <v>-7.32917997533022E-05</v>
      </c>
    </row>
    <row r="17" spans="1:5" ht="12">
      <c r="A17" s="21">
        <f t="shared" si="2"/>
        <v>14</v>
      </c>
      <c r="B17" s="45">
        <f ca="1" t="shared" si="0"/>
        <v>-16.1567443802351</v>
      </c>
      <c r="C17" s="46">
        <f ca="1" t="shared" si="0"/>
        <v>0.644655130523984</v>
      </c>
      <c r="D17" s="19">
        <f ca="1" t="shared" si="1"/>
        <v>-16.1697074555439</v>
      </c>
      <c r="E17" s="20">
        <f ca="1" t="shared" si="1"/>
        <v>-0.000112121875913168</v>
      </c>
    </row>
    <row r="18" spans="1:5" ht="12">
      <c r="A18" s="21">
        <f t="shared" si="2"/>
        <v>15</v>
      </c>
      <c r="B18" s="45">
        <f ca="1" t="shared" si="0"/>
        <v>-0.294355501839662</v>
      </c>
      <c r="C18" s="46">
        <f ca="1" t="shared" si="0"/>
        <v>0.00990710482669582</v>
      </c>
      <c r="D18" s="19">
        <f ca="1" t="shared" si="1"/>
        <v>-0.294887009574235</v>
      </c>
      <c r="E18" s="20">
        <f ca="1" t="shared" si="1"/>
        <v>-5.55601282725964E-05</v>
      </c>
    </row>
    <row r="19" spans="1:5" ht="12">
      <c r="A19" s="21">
        <f t="shared" si="2"/>
        <v>16</v>
      </c>
      <c r="B19" s="45">
        <f ca="1" t="shared" si="0"/>
        <v>-64.3744183512604</v>
      </c>
      <c r="C19" s="46">
        <f ca="1" t="shared" si="0"/>
        <v>-13.2142113530553</v>
      </c>
      <c r="D19" s="19">
        <f ca="1" t="shared" si="1"/>
        <v>-63.7948769538242</v>
      </c>
      <c r="E19" s="20">
        <f ca="1" t="shared" si="1"/>
        <v>15.7748136155215</v>
      </c>
    </row>
    <row r="20" spans="1:5" ht="12">
      <c r="A20" s="21">
        <f t="shared" si="2"/>
        <v>17</v>
      </c>
      <c r="B20" s="45">
        <f ca="1" t="shared" si="0"/>
        <v>-48.5120484929924</v>
      </c>
      <c r="C20" s="46">
        <f ca="1" t="shared" si="0"/>
        <v>-13.8491429575652</v>
      </c>
      <c r="D20" s="19">
        <f ca="1" t="shared" si="1"/>
        <v>-47.9197496104793</v>
      </c>
      <c r="E20" s="20">
        <f ca="1" t="shared" si="1"/>
        <v>15.7748836882425</v>
      </c>
    </row>
    <row r="21" spans="1:5" ht="12">
      <c r="A21" s="21">
        <f t="shared" si="2"/>
        <v>18</v>
      </c>
      <c r="B21" s="45">
        <f ca="1" t="shared" si="0"/>
        <v>-32.6497164196466</v>
      </c>
      <c r="C21" s="46">
        <f ca="1" t="shared" si="0"/>
        <v>-14.483879209736</v>
      </c>
      <c r="D21" s="19">
        <f ca="1" t="shared" si="1"/>
        <v>-32.0448090299216</v>
      </c>
      <c r="E21" s="20">
        <f ca="1" t="shared" si="1"/>
        <v>15.7750497770424</v>
      </c>
    </row>
    <row r="22" spans="1:5" ht="12">
      <c r="A22" s="21">
        <f t="shared" si="2"/>
        <v>19</v>
      </c>
      <c r="B22" s="45">
        <f ca="1" t="shared" si="0"/>
        <v>-16.7874599228068</v>
      </c>
      <c r="C22" s="46">
        <f ca="1" t="shared" si="0"/>
        <v>-15.1187175140621</v>
      </c>
      <c r="D22" s="19">
        <f ca="1" t="shared" si="1"/>
        <v>-16.1697168085156</v>
      </c>
      <c r="E22" s="20">
        <f ca="1" t="shared" si="1"/>
        <v>15.7749166627721</v>
      </c>
    </row>
    <row r="23" spans="1:5" ht="12">
      <c r="A23" s="21">
        <f t="shared" si="2"/>
        <v>20</v>
      </c>
      <c r="B23" s="45">
        <f ca="1" t="shared" si="0"/>
        <v>-0.925132116353072</v>
      </c>
      <c r="C23" s="46">
        <f ca="1" t="shared" si="0"/>
        <v>-15.7534594692488</v>
      </c>
      <c r="D23" s="19">
        <f ca="1" t="shared" si="1"/>
        <v>-0.294750374037517</v>
      </c>
      <c r="E23" s="20">
        <f ca="1" t="shared" si="1"/>
        <v>15.7748817261861</v>
      </c>
    </row>
    <row r="24" spans="1:5" ht="12">
      <c r="A24" s="21">
        <f t="shared" si="2"/>
        <v>21</v>
      </c>
      <c r="B24" s="45">
        <f ca="1" t="shared" si="0"/>
        <v>-65.0053886739974</v>
      </c>
      <c r="C24" s="46">
        <f ca="1" t="shared" si="0"/>
        <v>-28.9776807371105</v>
      </c>
      <c r="D24" s="19">
        <f ca="1" t="shared" si="1"/>
        <v>-63.7949510287994</v>
      </c>
      <c r="E24" s="20">
        <f ca="1" t="shared" si="1"/>
        <v>31.5499163736371</v>
      </c>
    </row>
    <row r="25" spans="1:5" ht="12">
      <c r="A25" s="21">
        <f t="shared" si="2"/>
        <v>22</v>
      </c>
      <c r="B25" s="45">
        <f ca="1" t="shared" si="0"/>
        <v>-49.1429160519877</v>
      </c>
      <c r="C25" s="46">
        <f ca="1" t="shared" si="0"/>
        <v>-29.6125149437331</v>
      </c>
      <c r="D25" s="19">
        <f ca="1" t="shared" si="1"/>
        <v>-47.9199098303673</v>
      </c>
      <c r="E25" s="20">
        <f ca="1" t="shared" si="1"/>
        <v>31.5499854812158</v>
      </c>
    </row>
    <row r="26" spans="1:5" ht="12">
      <c r="A26" s="21">
        <f t="shared" si="2"/>
        <v>23</v>
      </c>
      <c r="B26" s="45">
        <f ca="1" t="shared" si="0"/>
        <v>-33.2805681346087</v>
      </c>
      <c r="C26" s="46">
        <f ca="1" t="shared" si="0"/>
        <v>-30.2473500746985</v>
      </c>
      <c r="D26" s="19">
        <f ca="1" t="shared" si="1"/>
        <v>-32.0448604469022</v>
      </c>
      <c r="E26" s="20">
        <f ca="1" t="shared" si="1"/>
        <v>31.55005320383</v>
      </c>
    </row>
    <row r="27" spans="1:5" ht="12">
      <c r="A27" s="21">
        <f t="shared" si="2"/>
        <v>24</v>
      </c>
      <c r="B27" s="45">
        <f ca="1" t="shared" si="0"/>
        <v>-17.4181906618847</v>
      </c>
      <c r="C27" s="46">
        <f ca="1" t="shared" si="0"/>
        <v>-30.882090149167</v>
      </c>
      <c r="D27" s="19">
        <f ca="1" t="shared" si="1"/>
        <v>-16.1698491342653</v>
      </c>
      <c r="E27" s="20">
        <f ca="1" t="shared" si="1"/>
        <v>31.5499196490034</v>
      </c>
    </row>
    <row r="28" spans="1:5" ht="12">
      <c r="A28" s="24">
        <f t="shared" si="2"/>
        <v>25</v>
      </c>
      <c r="B28" s="47">
        <f ca="1" t="shared" si="0"/>
        <v>-1.55596173362266</v>
      </c>
      <c r="C28" s="48">
        <f ca="1" t="shared" si="0"/>
        <v>-31.5169280634428</v>
      </c>
      <c r="D28" s="22">
        <f ca="1" t="shared" si="1"/>
        <v>-0.294867883604187</v>
      </c>
      <c r="E28" s="23">
        <f ca="1" t="shared" si="1"/>
        <v>31.5498851064335</v>
      </c>
    </row>
    <row r="29" spans="1:5" ht="12">
      <c r="A29" s="18">
        <f t="shared" si="2"/>
        <v>26</v>
      </c>
      <c r="B29" s="15">
        <f ca="1" t="shared" si="0"/>
        <v>1.55693702006369</v>
      </c>
      <c r="C29" s="17">
        <f ca="1" t="shared" si="0"/>
        <v>31.5129988269387</v>
      </c>
      <c r="D29" s="15">
        <f ca="1" t="shared" si="1"/>
        <v>0.295286288095772</v>
      </c>
      <c r="E29" s="17">
        <f ca="1" t="shared" si="1"/>
        <v>-31.5500667819049</v>
      </c>
    </row>
    <row r="30" spans="1:5" ht="12">
      <c r="A30" s="21">
        <f t="shared" si="2"/>
        <v>27</v>
      </c>
      <c r="B30" s="19">
        <f ca="1" t="shared" si="0"/>
        <v>17.4222167563096</v>
      </c>
      <c r="C30" s="20">
        <f ca="1" t="shared" si="0"/>
        <v>30.87841862573</v>
      </c>
      <c r="D30" s="19">
        <f ca="1" t="shared" si="1"/>
        <v>16.1730994704825</v>
      </c>
      <c r="E30" s="20">
        <f ca="1" t="shared" si="1"/>
        <v>-31.5498904924328</v>
      </c>
    </row>
    <row r="31" spans="1:5" ht="12">
      <c r="A31" s="21">
        <f t="shared" si="2"/>
        <v>28</v>
      </c>
      <c r="B31" s="19">
        <f ca="1" t="shared" si="0"/>
        <v>33.2815599549184</v>
      </c>
      <c r="C31" s="20">
        <f ca="1" t="shared" si="0"/>
        <v>30.2434289996399</v>
      </c>
      <c r="D31" s="19">
        <f ca="1" t="shared" si="1"/>
        <v>32.0450968911031</v>
      </c>
      <c r="E31" s="20">
        <f ca="1" t="shared" si="1"/>
        <v>-31.5499538272235</v>
      </c>
    </row>
    <row r="32" spans="1:5" ht="12">
      <c r="A32" s="21">
        <f t="shared" si="2"/>
        <v>29</v>
      </c>
      <c r="B32" s="19">
        <f ca="1" t="shared" si="0"/>
        <v>49.1438232123196</v>
      </c>
      <c r="C32" s="20">
        <f ca="1" t="shared" si="0"/>
        <v>29.6084898052698</v>
      </c>
      <c r="D32" s="19">
        <f ca="1" t="shared" si="1"/>
        <v>47.9200214784094</v>
      </c>
      <c r="E32" s="20">
        <f ca="1" t="shared" si="1"/>
        <v>-31.5499978358362</v>
      </c>
    </row>
    <row r="33" spans="1:5" ht="12">
      <c r="A33" s="21">
        <f t="shared" si="2"/>
        <v>30</v>
      </c>
      <c r="B33" s="19">
        <f ca="1" t="shared" si="0"/>
        <v>65.0061022760095</v>
      </c>
      <c r="C33" s="20">
        <f ca="1" t="shared" si="0"/>
        <v>28.9736430391145</v>
      </c>
      <c r="D33" s="19">
        <f ca="1" t="shared" si="1"/>
        <v>63.7950181058844</v>
      </c>
      <c r="E33" s="20">
        <f ca="1" t="shared" si="1"/>
        <v>-31.5500427302175</v>
      </c>
    </row>
    <row r="34" spans="1:5" ht="12">
      <c r="A34" s="21">
        <f t="shared" si="2"/>
        <v>31</v>
      </c>
      <c r="B34" s="19">
        <f ca="1" t="shared" si="0"/>
        <v>0.926233850241828</v>
      </c>
      <c r="C34" s="20">
        <f ca="1" t="shared" si="0"/>
        <v>15.7495347322022</v>
      </c>
      <c r="D34" s="19">
        <f ca="1" t="shared" si="1"/>
        <v>0.295188524424768</v>
      </c>
      <c r="E34" s="20">
        <f ca="1" t="shared" si="1"/>
        <v>-15.7750572562853</v>
      </c>
    </row>
    <row r="35" spans="1:5" ht="12">
      <c r="A35" s="21">
        <f t="shared" si="2"/>
        <v>32</v>
      </c>
      <c r="B35" s="19">
        <f ca="1" t="shared" si="0"/>
        <v>16.7928474780757</v>
      </c>
      <c r="C35" s="20">
        <f ca="1" t="shared" si="0"/>
        <v>15.1151831962125</v>
      </c>
      <c r="D35" s="19">
        <f ca="1" t="shared" si="1"/>
        <v>16.1744255417821</v>
      </c>
      <c r="E35" s="20">
        <f ca="1" t="shared" si="1"/>
        <v>-15.7748212222047</v>
      </c>
    </row>
    <row r="36" spans="1:5" ht="12">
      <c r="A36" s="21">
        <f t="shared" si="2"/>
        <v>33</v>
      </c>
      <c r="B36" s="19">
        <f ca="1" t="shared" si="0"/>
        <v>32.6508432604881</v>
      </c>
      <c r="C36" s="20">
        <f ca="1" t="shared" si="0"/>
        <v>14.4798662223849</v>
      </c>
      <c r="D36" s="19">
        <f ca="1" t="shared" si="1"/>
        <v>32.0453501162558</v>
      </c>
      <c r="E36" s="20">
        <f ca="1" t="shared" si="1"/>
        <v>-15.7750395554914</v>
      </c>
    </row>
    <row r="37" spans="1:5" ht="12">
      <c r="A37" s="21">
        <f t="shared" si="2"/>
        <v>34</v>
      </c>
      <c r="B37" s="19">
        <f ca="1" t="shared" si="3" ref="B37:C68">INDIRECT(ADDRESS(12+(ROW()-4)*3+(COLUMN()-2),2,3,TRUE,"RawDataInput"))</f>
        <v>48.5131381781614</v>
      </c>
      <c r="C37" s="20">
        <f ca="1" t="shared" si="3"/>
        <v>13.8451281059001</v>
      </c>
      <c r="D37" s="19">
        <f ca="1" t="shared" si="4" ref="D37:E68">INDIRECT(ADDRESS(12+(ROW()-4)*3+(COLUMN()-4),3,3,TRUE,"RawDataInput"))</f>
        <v>47.9200673527503</v>
      </c>
      <c r="E37" s="20">
        <f ca="1" t="shared" si="4"/>
        <v>-15.7749857112432</v>
      </c>
    </row>
    <row r="38" spans="1:5" ht="12">
      <c r="A38" s="21">
        <f t="shared" si="2"/>
        <v>35</v>
      </c>
      <c r="B38" s="19">
        <f ca="1" t="shared" si="3"/>
        <v>64.3753264361386</v>
      </c>
      <c r="C38" s="20">
        <f ca="1" t="shared" si="3"/>
        <v>13.2103851206974</v>
      </c>
      <c r="D38" s="19">
        <f ca="1" t="shared" si="4"/>
        <v>63.7949673443867</v>
      </c>
      <c r="E38" s="20">
        <f ca="1" t="shared" si="4"/>
        <v>-15.7751316612864</v>
      </c>
    </row>
    <row r="39" spans="1:5" ht="12">
      <c r="A39" s="21">
        <f t="shared" si="2"/>
        <v>36</v>
      </c>
      <c r="B39" s="19">
        <f ca="1" t="shared" si="3"/>
        <v>0.295394021624952</v>
      </c>
      <c r="C39" s="20">
        <f ca="1" t="shared" si="3"/>
        <v>-0.0138651557643137</v>
      </c>
      <c r="D39" s="19">
        <f ca="1" t="shared" si="4"/>
        <v>0.295263000011154</v>
      </c>
      <c r="E39" s="20">
        <f ca="1" t="shared" si="4"/>
        <v>5.41817950743259E-05</v>
      </c>
    </row>
    <row r="40" spans="1:5" ht="12">
      <c r="A40" s="21">
        <f t="shared" si="2"/>
        <v>37</v>
      </c>
      <c r="B40" s="19">
        <f ca="1" t="shared" si="3"/>
        <v>16.1606801491172</v>
      </c>
      <c r="C40" s="20">
        <f ca="1" t="shared" si="3"/>
        <v>-0.648446703440936</v>
      </c>
      <c r="D40" s="19">
        <f ca="1" t="shared" si="4"/>
        <v>16.1729435201859</v>
      </c>
      <c r="E40" s="20">
        <f ca="1" t="shared" si="4"/>
        <v>3.17478095847429E-05</v>
      </c>
    </row>
    <row r="41" spans="1:5" ht="12">
      <c r="A41" s="21">
        <f t="shared" si="2"/>
        <v>38</v>
      </c>
      <c r="B41" s="19">
        <f ca="1" t="shared" si="3"/>
        <v>32.0201023686353</v>
      </c>
      <c r="C41" s="20">
        <f ca="1" t="shared" si="3"/>
        <v>-1.28344239330509</v>
      </c>
      <c r="D41" s="19">
        <f ca="1" t="shared" si="4"/>
        <v>32.0451704015238</v>
      </c>
      <c r="E41" s="20">
        <f ca="1" t="shared" si="4"/>
        <v>-0.000127623201231756</v>
      </c>
    </row>
    <row r="42" spans="1:5" ht="12">
      <c r="A42" s="21">
        <f t="shared" si="2"/>
        <v>39</v>
      </c>
      <c r="B42" s="19">
        <f ca="1" t="shared" si="3"/>
        <v>47.8823057900413</v>
      </c>
      <c r="C42" s="20">
        <f ca="1" t="shared" si="3"/>
        <v>-1.91828076281754</v>
      </c>
      <c r="D42" s="19">
        <f ca="1" t="shared" si="4"/>
        <v>47.9201778619859</v>
      </c>
      <c r="E42" s="20">
        <f ca="1" t="shared" si="4"/>
        <v>3.1204808358565E-05</v>
      </c>
    </row>
    <row r="43" spans="1:5" ht="12">
      <c r="A43" s="21">
        <f t="shared" si="2"/>
        <v>40</v>
      </c>
      <c r="B43" s="19">
        <f ca="1" t="shared" si="3"/>
        <v>63.7445954628594</v>
      </c>
      <c r="C43" s="20">
        <f ca="1" t="shared" si="3"/>
        <v>-2.5531300850326</v>
      </c>
      <c r="D43" s="19">
        <f ca="1" t="shared" si="4"/>
        <v>63.7949852897653</v>
      </c>
      <c r="E43" s="20">
        <f ca="1" t="shared" si="4"/>
        <v>-0.000114118466391109</v>
      </c>
    </row>
    <row r="44" spans="1:5" ht="12">
      <c r="A44" s="21">
        <f t="shared" si="2"/>
        <v>41</v>
      </c>
      <c r="B44" s="19">
        <f ca="1" t="shared" si="3"/>
        <v>-0.335319380191872</v>
      </c>
      <c r="C44" s="20">
        <f ca="1" t="shared" si="3"/>
        <v>-15.7773378951062</v>
      </c>
      <c r="D44" s="19">
        <f ca="1" t="shared" si="4"/>
        <v>0.295172365451607</v>
      </c>
      <c r="E44" s="20">
        <f ca="1" t="shared" si="4"/>
        <v>15.7748881741279</v>
      </c>
    </row>
    <row r="45" spans="1:5" ht="12">
      <c r="A45" s="21">
        <f t="shared" si="2"/>
        <v>42</v>
      </c>
      <c r="B45" s="19">
        <f ca="1" t="shared" si="3"/>
        <v>15.5312933070273</v>
      </c>
      <c r="C45" s="20">
        <f ca="1" t="shared" si="3"/>
        <v>-16.4116923984018</v>
      </c>
      <c r="D45" s="19">
        <f ca="1" t="shared" si="4"/>
        <v>16.174283089164</v>
      </c>
      <c r="E45" s="20">
        <f ca="1" t="shared" si="4"/>
        <v>15.7752284013622</v>
      </c>
    </row>
    <row r="46" spans="1:5" ht="12">
      <c r="A46" s="21">
        <f t="shared" si="2"/>
        <v>43</v>
      </c>
      <c r="B46" s="19">
        <f ca="1" t="shared" si="3"/>
        <v>31.3892584973537</v>
      </c>
      <c r="C46" s="20">
        <f ca="1" t="shared" si="3"/>
        <v>-17.0468146755707</v>
      </c>
      <c r="D46" s="19">
        <f ca="1" t="shared" si="4"/>
        <v>32.0453011187062</v>
      </c>
      <c r="E46" s="20">
        <f ca="1" t="shared" si="4"/>
        <v>15.7749200174531</v>
      </c>
    </row>
    <row r="47" spans="1:5" ht="12">
      <c r="A47" s="21">
        <f t="shared" si="2"/>
        <v>44</v>
      </c>
      <c r="B47" s="19">
        <f ca="1" t="shared" si="3"/>
        <v>47.2515592691061</v>
      </c>
      <c r="C47" s="20">
        <f ca="1" t="shared" si="3"/>
        <v>-17.6815588609831</v>
      </c>
      <c r="D47" s="19">
        <f ca="1" t="shared" si="4"/>
        <v>47.9200864976293</v>
      </c>
      <c r="E47" s="20">
        <f ca="1" t="shared" si="4"/>
        <v>15.774881537173</v>
      </c>
    </row>
    <row r="48" spans="1:5" ht="12">
      <c r="A48" s="21">
        <f t="shared" si="2"/>
        <v>45</v>
      </c>
      <c r="B48" s="19">
        <f ca="1" t="shared" si="3"/>
        <v>63.113738610875</v>
      </c>
      <c r="C48" s="20">
        <f ca="1" t="shared" si="3"/>
        <v>-18.3164067489614</v>
      </c>
      <c r="D48" s="19">
        <f ca="1" t="shared" si="4"/>
        <v>63.7949822866495</v>
      </c>
      <c r="E48" s="20">
        <f ca="1" t="shared" si="4"/>
        <v>15.775042589203</v>
      </c>
    </row>
    <row r="49" spans="1:5" ht="12">
      <c r="A49" s="21">
        <f t="shared" si="2"/>
        <v>46</v>
      </c>
      <c r="B49" s="19">
        <f ca="1" t="shared" si="3"/>
        <v>-0.96624198382515</v>
      </c>
      <c r="C49" s="20">
        <f ca="1" t="shared" si="3"/>
        <v>-31.5406032895235</v>
      </c>
      <c r="D49" s="19">
        <f ca="1" t="shared" si="4"/>
        <v>0.29516075788646</v>
      </c>
      <c r="E49" s="20">
        <f ca="1" t="shared" si="4"/>
        <v>31.549892954068</v>
      </c>
    </row>
    <row r="50" spans="1:5" ht="12">
      <c r="A50" s="21">
        <f t="shared" si="2"/>
        <v>47</v>
      </c>
      <c r="B50" s="19">
        <f ca="1" t="shared" si="3"/>
        <v>14.8989648533228</v>
      </c>
      <c r="C50" s="20">
        <f ca="1" t="shared" si="3"/>
        <v>-32.1752907578316</v>
      </c>
      <c r="D50" s="19">
        <f ca="1" t="shared" si="4"/>
        <v>16.1728905495534</v>
      </c>
      <c r="E50" s="20">
        <f ca="1" t="shared" si="4"/>
        <v>31.5499744396386</v>
      </c>
    </row>
    <row r="51" spans="1:5" ht="12">
      <c r="A51" s="21">
        <f t="shared" si="2"/>
        <v>48</v>
      </c>
      <c r="B51" s="19">
        <f ca="1" t="shared" si="3"/>
        <v>30.758363539677</v>
      </c>
      <c r="C51" s="20">
        <f ca="1" t="shared" si="3"/>
        <v>-32.8102869198706</v>
      </c>
      <c r="D51" s="19">
        <f ca="1" t="shared" si="4"/>
        <v>32.0452082681821</v>
      </c>
      <c r="E51" s="20">
        <f ca="1" t="shared" si="4"/>
        <v>31.5500234690068</v>
      </c>
    </row>
    <row r="52" spans="1:5" ht="12">
      <c r="A52" s="21">
        <f t="shared" si="2"/>
        <v>49</v>
      </c>
      <c r="B52" s="19">
        <f ca="1" t="shared" si="3"/>
        <v>46.6205554081408</v>
      </c>
      <c r="C52" s="20">
        <f ca="1" t="shared" si="3"/>
        <v>-33.4451293411221</v>
      </c>
      <c r="D52" s="19">
        <f ca="1" t="shared" si="4"/>
        <v>47.9200661144193</v>
      </c>
      <c r="E52" s="20">
        <f ca="1" t="shared" si="4"/>
        <v>31.5499853159699</v>
      </c>
    </row>
    <row r="53" spans="1:5" ht="12">
      <c r="A53" s="24">
        <f t="shared" si="2"/>
        <v>50</v>
      </c>
      <c r="B53" s="22">
        <f ca="1" t="shared" si="3"/>
        <v>62.4827336306183</v>
      </c>
      <c r="C53" s="23">
        <f ca="1" t="shared" si="3"/>
        <v>-34.0798776628126</v>
      </c>
      <c r="D53" s="22">
        <f ca="1" t="shared" si="4"/>
        <v>63.7950561283635</v>
      </c>
      <c r="E53" s="23">
        <f ca="1" t="shared" si="4"/>
        <v>31.5500471468968</v>
      </c>
    </row>
    <row r="54" spans="1:5" ht="12">
      <c r="A54" s="18">
        <f t="shared" si="2"/>
        <v>51</v>
      </c>
      <c r="B54" s="15">
        <f ca="1" t="shared" si="3"/>
        <v>-0.719789006150267</v>
      </c>
      <c r="C54" s="17">
        <f ca="1" t="shared" si="3"/>
        <v>-35.7429016350056</v>
      </c>
      <c r="D54" s="15">
        <f ca="1" t="shared" si="4"/>
        <v>-0.720060141987802</v>
      </c>
      <c r="E54" s="17">
        <f ca="1" t="shared" si="4"/>
        <v>35.7426590458623</v>
      </c>
    </row>
    <row r="55" spans="1:5" ht="12">
      <c r="A55" s="21">
        <f t="shared" si="2"/>
        <v>52</v>
      </c>
      <c r="B55" s="19">
        <f ca="1" t="shared" si="3"/>
        <v>-0.905882507318763</v>
      </c>
      <c r="C55" s="20">
        <f ca="1" t="shared" si="3"/>
        <v>-35.3849255564708</v>
      </c>
      <c r="D55" s="19">
        <f ca="1" t="shared" si="4"/>
        <v>-0.905753104179688</v>
      </c>
      <c r="E55" s="20">
        <f ca="1" t="shared" si="4"/>
        <v>35.3847999700676</v>
      </c>
    </row>
    <row r="56" spans="1:5" ht="12">
      <c r="A56" s="24">
        <f t="shared" si="2"/>
        <v>53</v>
      </c>
      <c r="B56" s="22">
        <f ca="1" t="shared" si="3"/>
        <v>-0.506090220429879</v>
      </c>
      <c r="C56" s="23">
        <f ca="1" t="shared" si="3"/>
        <v>-35.4007914035701</v>
      </c>
      <c r="D56" s="22">
        <f ca="1" t="shared" si="4"/>
        <v>-0.506309334916064</v>
      </c>
      <c r="E56" s="23">
        <f ca="1" t="shared" si="4"/>
        <v>35.400809816094</v>
      </c>
    </row>
    <row r="57" spans="1:5" ht="12">
      <c r="A57" s="21">
        <f t="shared" si="2"/>
        <v>54</v>
      </c>
      <c r="B57" s="19">
        <f ca="1" t="shared" si="3"/>
        <v>-10.3176505174768</v>
      </c>
      <c r="C57" s="20">
        <f ca="1" t="shared" si="3"/>
        <v>34.2132134286917</v>
      </c>
      <c r="D57" s="19">
        <f ca="1" t="shared" si="4"/>
        <v>-10.3177804757235</v>
      </c>
      <c r="E57" s="20">
        <f ca="1" t="shared" si="4"/>
        <v>-34.2133471787562</v>
      </c>
    </row>
    <row r="58" spans="1:5" ht="12">
      <c r="A58" s="21">
        <f t="shared" si="2"/>
        <v>55</v>
      </c>
      <c r="B58" s="19">
        <f ca="1" t="shared" si="3"/>
        <v>-10.1977604523891</v>
      </c>
      <c r="C58" s="20">
        <f ca="1" t="shared" si="3"/>
        <v>40.2118681248741</v>
      </c>
      <c r="D58" s="19">
        <f ca="1" t="shared" si="4"/>
        <v>-10.1978343181984</v>
      </c>
      <c r="E58" s="20">
        <f ca="1" t="shared" si="4"/>
        <v>-40.2120606725812</v>
      </c>
    </row>
    <row r="59" spans="1:5" ht="10.5">
      <c r="A59" s="21">
        <f t="shared" si="2"/>
        <v>56</v>
      </c>
      <c r="B59" s="19">
        <f ca="1" t="shared" si="3"/>
        <v>-5.54780839137443</v>
      </c>
      <c r="C59" s="20">
        <f ca="1" t="shared" si="3"/>
        <v>47.7204225489929</v>
      </c>
      <c r="D59" s="19">
        <f ca="1" t="shared" si="4"/>
        <v>-5.00001635226238</v>
      </c>
      <c r="E59" s="20">
        <f ca="1" t="shared" si="4"/>
        <v>-47.7206123530997</v>
      </c>
    </row>
    <row r="60" spans="1:5" ht="10.5">
      <c r="A60" s="21">
        <f t="shared" si="2"/>
        <v>57</v>
      </c>
      <c r="B60" s="19">
        <f ca="1" t="shared" si="3"/>
        <v>-1.04972517889173</v>
      </c>
      <c r="C60" s="20">
        <f ca="1" t="shared" si="3"/>
        <v>47.530403892811</v>
      </c>
      <c r="D60" s="19">
        <f ca="1" t="shared" si="4"/>
        <v>-1.04954161195719</v>
      </c>
      <c r="E60" s="20">
        <f ca="1" t="shared" si="4"/>
        <v>-47.5306178593897</v>
      </c>
    </row>
    <row r="61" spans="1:5" ht="10.5">
      <c r="A61" s="21">
        <f t="shared" si="2"/>
        <v>58</v>
      </c>
      <c r="B61" s="19">
        <f ca="1" t="shared" si="3"/>
        <v>-1.19959974103967</v>
      </c>
      <c r="C61" s="20">
        <f ca="1" t="shared" si="3"/>
        <v>40.0319628969343</v>
      </c>
      <c r="D61" s="19">
        <f ca="1" t="shared" si="4"/>
        <v>-1.19970822914971</v>
      </c>
      <c r="E61" s="20">
        <f ca="1" t="shared" si="4"/>
        <v>-40.0320288778548</v>
      </c>
    </row>
    <row r="62" spans="1:5" ht="10.5">
      <c r="A62" s="21">
        <f t="shared" si="2"/>
        <v>59</v>
      </c>
      <c r="B62" s="19">
        <f ca="1" t="shared" si="3"/>
        <v>-1.31967912494922</v>
      </c>
      <c r="C62" s="20">
        <f ca="1" t="shared" si="3"/>
        <v>34.0332159937244</v>
      </c>
      <c r="D62" s="19">
        <f ca="1" t="shared" si="4"/>
        <v>-1.319545210336</v>
      </c>
      <c r="E62" s="20">
        <f ca="1" t="shared" si="4"/>
        <v>-34.0333138428129</v>
      </c>
    </row>
    <row r="63" spans="1:5" ht="10.5">
      <c r="A63" s="21">
        <f t="shared" si="2"/>
        <v>60</v>
      </c>
      <c r="B63" s="19">
        <f ca="1" t="shared" si="3"/>
        <v>34.1832486815731</v>
      </c>
      <c r="C63" s="20">
        <f ca="1" t="shared" si="3"/>
        <v>33.8230728181968</v>
      </c>
      <c r="D63" s="19">
        <f ca="1" t="shared" si="4"/>
        <v>34.1832730616541</v>
      </c>
      <c r="E63" s="20">
        <f ca="1" t="shared" si="4"/>
        <v>-33.8231811498389</v>
      </c>
    </row>
    <row r="64" spans="1:5" ht="10.5">
      <c r="A64" s="21">
        <f t="shared" si="2"/>
        <v>61</v>
      </c>
      <c r="B64" s="19">
        <f ca="1" t="shared" si="3"/>
        <v>34.7931960905545</v>
      </c>
      <c r="C64" s="20">
        <f ca="1" t="shared" si="3"/>
        <v>39.3119591166156</v>
      </c>
      <c r="D64" s="19">
        <f ca="1" t="shared" si="4"/>
        <v>34.7931158448108</v>
      </c>
      <c r="E64" s="20">
        <f ca="1" t="shared" si="4"/>
        <v>-39.3121008000762</v>
      </c>
    </row>
    <row r="65" spans="1:5" ht="10.5">
      <c r="A65" s="20">
        <f t="shared" si="2"/>
        <v>62</v>
      </c>
      <c r="B65" s="14">
        <f ca="1" t="shared" si="3"/>
        <v>34.9431710047981</v>
      </c>
      <c r="C65" s="20">
        <f ca="1" t="shared" si="3"/>
        <v>46.8105126693248</v>
      </c>
      <c r="D65" s="14">
        <f ca="1" t="shared" si="4"/>
        <v>34.9431704775286</v>
      </c>
      <c r="E65" s="20">
        <f ca="1" t="shared" si="4"/>
        <v>-46.8105916846223</v>
      </c>
    </row>
    <row r="66" spans="1:5" ht="10.5">
      <c r="A66" s="21">
        <f t="shared" si="2"/>
        <v>63</v>
      </c>
      <c r="B66" s="19">
        <f ca="1" t="shared" si="3"/>
        <v>36.4418118024064</v>
      </c>
      <c r="C66" s="20">
        <f ca="1" t="shared" si="3"/>
        <v>46.6804880980398</v>
      </c>
      <c r="D66" s="19">
        <f ca="1" t="shared" si="4"/>
        <v>36.0000739033487</v>
      </c>
      <c r="E66" s="20">
        <f ca="1" t="shared" si="4"/>
        <v>-46.6806867952188</v>
      </c>
    </row>
    <row r="67" spans="1:5" ht="10.5">
      <c r="A67" s="21">
        <f t="shared" si="2"/>
        <v>64</v>
      </c>
      <c r="B67" s="19">
        <f ca="1" t="shared" si="3"/>
        <v>43.7914050910858</v>
      </c>
      <c r="C67" s="20">
        <f ca="1" t="shared" si="3"/>
        <v>39.1320548350516</v>
      </c>
      <c r="D67" s="19">
        <f ca="1" t="shared" si="4"/>
        <v>43.7913633665459</v>
      </c>
      <c r="E67" s="20">
        <f ca="1" t="shared" si="4"/>
        <v>-39.1320677832879</v>
      </c>
    </row>
    <row r="68" spans="1:5" ht="10.5">
      <c r="A68" s="21">
        <f t="shared" si="2"/>
        <v>65</v>
      </c>
      <c r="B68" s="19">
        <f ca="1" t="shared" si="3"/>
        <v>44.1812379764627</v>
      </c>
      <c r="C68" s="20">
        <f ca="1" t="shared" si="3"/>
        <v>33.6230001951487</v>
      </c>
      <c r="D68" s="19">
        <f ca="1" t="shared" si="4"/>
        <v>44.1812848870646</v>
      </c>
      <c r="E68" s="20">
        <f ca="1" t="shared" si="4"/>
        <v>-33.62321152675</v>
      </c>
    </row>
    <row r="69" spans="1:5" ht="10.5">
      <c r="A69" s="21">
        <f t="shared" si="2"/>
        <v>66</v>
      </c>
      <c r="B69" s="19">
        <f ca="1" t="shared" si="5" ref="B69:C98">INDIRECT(ADDRESS(12+(ROW()-4)*3+(COLUMN()-2),2,3,TRUE,"RawDataInput"))</f>
        <v>15.2970664499357</v>
      </c>
      <c r="C69" s="20">
        <f ca="1" t="shared" si="5"/>
        <v>39.7019616938967</v>
      </c>
      <c r="D69" s="19">
        <f ca="1" t="shared" si="6" ref="D69:E97">INDIRECT(ADDRESS(12+(ROW()-4)*3+(COLUMN()-4),3,3,TRUE,"RawDataInput"))</f>
        <v>0</v>
      </c>
      <c r="E69" s="20">
        <f ca="1" t="shared" si="6"/>
        <v>0</v>
      </c>
    </row>
    <row r="70" spans="1:5" ht="10.5">
      <c r="A70" s="24">
        <f aca="true" t="shared" si="7" ref="A70:A105">A69+1</f>
        <v>67</v>
      </c>
      <c r="B70" s="22">
        <f ca="1" t="shared" si="5"/>
        <v>15.4469376497153</v>
      </c>
      <c r="C70" s="23">
        <f ca="1" t="shared" si="5"/>
        <v>47.2004030458442</v>
      </c>
      <c r="D70" s="22">
        <f ca="1" t="shared" si="6"/>
        <v>0</v>
      </c>
      <c r="E70" s="23">
        <f ca="1" t="shared" si="6"/>
        <v>0</v>
      </c>
    </row>
    <row r="71" spans="1:5" ht="10.5">
      <c r="A71" s="21">
        <f t="shared" si="7"/>
        <v>68</v>
      </c>
      <c r="B71" s="19">
        <f ca="1" t="shared" si="5"/>
        <v>7.92550686361975</v>
      </c>
      <c r="C71" s="20">
        <f ca="1" t="shared" si="5"/>
        <v>32.1500538837986</v>
      </c>
      <c r="D71" s="19">
        <f ca="1" t="shared" si="6"/>
        <v>6.06174141816701</v>
      </c>
      <c r="E71" s="20">
        <f ca="1" t="shared" si="6"/>
        <v>-34.0668618182131</v>
      </c>
    </row>
    <row r="72" spans="1:5" ht="10.5">
      <c r="A72" s="21">
        <f t="shared" si="7"/>
        <v>69</v>
      </c>
      <c r="B72" s="19">
        <f ca="1" t="shared" si="5"/>
        <v>26.2537901769112</v>
      </c>
      <c r="C72" s="20">
        <f ca="1" t="shared" si="5"/>
        <v>33.6019413909727</v>
      </c>
      <c r="D72" s="19">
        <f ca="1" t="shared" si="6"/>
        <v>24.8442878819606</v>
      </c>
      <c r="E72" s="20">
        <f ca="1" t="shared" si="6"/>
        <v>-31.5160456587351</v>
      </c>
    </row>
    <row r="73" spans="1:5" ht="10.5">
      <c r="A73" s="21">
        <f t="shared" si="7"/>
        <v>70</v>
      </c>
      <c r="B73" s="19">
        <f ca="1" t="shared" si="5"/>
        <v>8.63204448457499</v>
      </c>
      <c r="C73" s="20">
        <f ca="1" t="shared" si="5"/>
        <v>-0.294967827994007</v>
      </c>
      <c r="D73" s="19">
        <f ca="1" t="shared" si="6"/>
        <v>8.55020295949023</v>
      </c>
      <c r="E73" s="20">
        <f ca="1" t="shared" si="6"/>
        <v>-0.0594225033368094</v>
      </c>
    </row>
    <row r="74" spans="1:5" ht="10.5">
      <c r="A74" s="21">
        <f t="shared" si="7"/>
        <v>71</v>
      </c>
      <c r="B74" s="19">
        <f ca="1" t="shared" si="5"/>
        <v>24.7702221208639</v>
      </c>
      <c r="C74" s="20">
        <f ca="1" t="shared" si="5"/>
        <v>-0.976372552235165</v>
      </c>
      <c r="D74" s="19">
        <f ca="1" t="shared" si="6"/>
        <v>23.0228061611977</v>
      </c>
      <c r="E74" s="20">
        <f ca="1" t="shared" si="6"/>
        <v>-0.0615480880144143</v>
      </c>
    </row>
    <row r="75" spans="1:5" ht="10.5">
      <c r="A75" s="21">
        <f t="shared" si="7"/>
        <v>72</v>
      </c>
      <c r="B75" s="19">
        <f ca="1" t="shared" si="5"/>
        <v>5.19604378580436</v>
      </c>
      <c r="C75" s="20">
        <f ca="1" t="shared" si="5"/>
        <v>-32.6283278849203</v>
      </c>
      <c r="D75" s="19">
        <f ca="1" t="shared" si="6"/>
        <v>6.52568467538026</v>
      </c>
      <c r="E75" s="20">
        <f ca="1" t="shared" si="6"/>
        <v>34.5899004818309</v>
      </c>
    </row>
    <row r="76" spans="1:5" ht="10.5">
      <c r="A76" s="21">
        <f t="shared" si="7"/>
        <v>73</v>
      </c>
      <c r="B76" s="19">
        <f ca="1" t="shared" si="5"/>
        <v>23.4903078556142</v>
      </c>
      <c r="C76" s="20">
        <f ca="1" t="shared" si="5"/>
        <v>-32.8841988970447</v>
      </c>
      <c r="D76" s="14">
        <f ca="1" t="shared" si="6"/>
        <v>24.3434027626671</v>
      </c>
      <c r="E76" s="20">
        <f ca="1" t="shared" si="6"/>
        <v>34.5131013405452</v>
      </c>
    </row>
    <row r="77" spans="1:5" ht="10.5">
      <c r="A77" s="20">
        <f t="shared" si="7"/>
        <v>74</v>
      </c>
      <c r="B77" s="14">
        <f ca="1" t="shared" si="5"/>
        <v>6.13695670140037</v>
      </c>
      <c r="C77" s="20">
        <f ca="1" t="shared" si="5"/>
        <v>-36.3678180961291</v>
      </c>
      <c r="D77" s="14">
        <f ca="1" t="shared" si="6"/>
        <v>7.67102584144579</v>
      </c>
      <c r="E77" s="20">
        <f ca="1" t="shared" si="6"/>
        <v>36.1273816461874</v>
      </c>
    </row>
    <row r="78" spans="1:5" ht="10.5">
      <c r="A78" s="21">
        <f t="shared" si="7"/>
        <v>75</v>
      </c>
      <c r="B78" s="14">
        <f ca="1" t="shared" si="5"/>
        <v>7.98811265367451</v>
      </c>
      <c r="C78" s="20">
        <f ca="1" t="shared" si="5"/>
        <v>-33.7313943516051</v>
      </c>
      <c r="D78" s="14">
        <f ca="1" t="shared" si="6"/>
        <v>9.35198044356873</v>
      </c>
      <c r="E78" s="20">
        <f ca="1" t="shared" si="6"/>
        <v>33.3477609479827</v>
      </c>
    </row>
    <row r="79" spans="1:5" ht="10.5">
      <c r="A79" s="24">
        <f t="shared" si="7"/>
        <v>76</v>
      </c>
      <c r="B79" s="3">
        <f ca="1" t="shared" si="5"/>
        <v>18.4681183587422</v>
      </c>
      <c r="C79" s="23">
        <f ca="1" t="shared" si="5"/>
        <v>-34.0256545627202</v>
      </c>
      <c r="D79" s="3">
        <f ca="1" t="shared" si="6"/>
        <v>19.8968286865846</v>
      </c>
      <c r="E79" s="23">
        <f ca="1" t="shared" si="6"/>
        <v>33.3359254553513</v>
      </c>
    </row>
    <row r="80" spans="1:5" ht="10.5">
      <c r="A80" s="21">
        <f t="shared" si="7"/>
        <v>77</v>
      </c>
      <c r="B80" s="14">
        <f ca="1" t="shared" si="5"/>
        <v>0</v>
      </c>
      <c r="C80" s="20">
        <f ca="1" t="shared" si="5"/>
        <v>0</v>
      </c>
      <c r="D80" s="14">
        <f ca="1" t="shared" si="6"/>
        <v>0</v>
      </c>
      <c r="E80" s="20">
        <f ca="1" t="shared" si="6"/>
        <v>0</v>
      </c>
    </row>
    <row r="81" spans="1:5" ht="10.5">
      <c r="A81" s="20">
        <f t="shared" si="7"/>
        <v>78</v>
      </c>
      <c r="B81" s="14">
        <f ca="1" t="shared" si="5"/>
        <v>7.98811265367451</v>
      </c>
      <c r="C81" s="20">
        <f ca="1" t="shared" si="5"/>
        <v>-33.7313943516051</v>
      </c>
      <c r="D81" s="14">
        <f ca="1" t="shared" si="6"/>
        <v>0</v>
      </c>
      <c r="E81" s="20">
        <f ca="1" t="shared" si="6"/>
        <v>0</v>
      </c>
    </row>
    <row r="82" spans="1:5" ht="10.5">
      <c r="A82" s="21">
        <f t="shared" si="7"/>
        <v>79</v>
      </c>
      <c r="B82" s="14">
        <f ca="1" t="shared" si="5"/>
        <v>0</v>
      </c>
      <c r="C82" s="20">
        <f ca="1" t="shared" si="5"/>
        <v>0</v>
      </c>
      <c r="D82" s="19">
        <f ca="1" t="shared" si="6"/>
        <v>0</v>
      </c>
      <c r="E82" s="20">
        <f ca="1" t="shared" si="6"/>
        <v>0</v>
      </c>
    </row>
    <row r="83" spans="1:5" ht="10.5">
      <c r="A83" s="21">
        <f t="shared" si="7"/>
        <v>80</v>
      </c>
      <c r="B83" s="19">
        <f ca="1" t="shared" si="5"/>
        <v>0</v>
      </c>
      <c r="C83" s="20">
        <f ca="1" t="shared" si="5"/>
        <v>0</v>
      </c>
      <c r="D83" s="19">
        <f ca="1" t="shared" si="6"/>
        <v>0</v>
      </c>
      <c r="E83" s="20">
        <f ca="1" t="shared" si="6"/>
        <v>0</v>
      </c>
    </row>
    <row r="84" spans="1:5" ht="10.5">
      <c r="A84" s="21">
        <f t="shared" si="7"/>
        <v>81</v>
      </c>
      <c r="B84" s="19">
        <f ca="1" t="shared" si="5"/>
        <v>0</v>
      </c>
      <c r="C84" s="20">
        <f ca="1" t="shared" si="5"/>
        <v>0</v>
      </c>
      <c r="D84" s="19">
        <f ca="1" t="shared" si="6"/>
        <v>0</v>
      </c>
      <c r="E84" s="20">
        <f ca="1" t="shared" si="6"/>
        <v>0</v>
      </c>
    </row>
    <row r="85" spans="1:5" ht="10.5">
      <c r="A85" s="21">
        <f t="shared" si="7"/>
        <v>82</v>
      </c>
      <c r="B85" s="19">
        <f ca="1" t="shared" si="5"/>
        <v>0</v>
      </c>
      <c r="C85" s="20">
        <f ca="1" t="shared" si="5"/>
        <v>0</v>
      </c>
      <c r="D85" s="19">
        <f ca="1" t="shared" si="6"/>
        <v>0</v>
      </c>
      <c r="E85" s="20">
        <f ca="1" t="shared" si="6"/>
        <v>0</v>
      </c>
    </row>
    <row r="86" spans="1:5" ht="10.5">
      <c r="A86" s="21">
        <f t="shared" si="7"/>
        <v>83</v>
      </c>
      <c r="B86" s="19">
        <f ca="1" t="shared" si="5"/>
        <v>0</v>
      </c>
      <c r="C86" s="20">
        <f ca="1" t="shared" si="5"/>
        <v>0</v>
      </c>
      <c r="D86" s="19">
        <f ca="1" t="shared" si="6"/>
        <v>0</v>
      </c>
      <c r="E86" s="20">
        <f ca="1" t="shared" si="6"/>
        <v>0</v>
      </c>
    </row>
    <row r="87" spans="1:5" ht="10.5">
      <c r="A87" s="21">
        <f t="shared" si="7"/>
        <v>84</v>
      </c>
      <c r="B87" s="19">
        <f ca="1" t="shared" si="5"/>
        <v>0</v>
      </c>
      <c r="C87" s="20">
        <f ca="1" t="shared" si="5"/>
        <v>0</v>
      </c>
      <c r="D87" s="19">
        <f ca="1" t="shared" si="6"/>
        <v>0</v>
      </c>
      <c r="E87" s="20">
        <f ca="1" t="shared" si="6"/>
        <v>0</v>
      </c>
    </row>
    <row r="88" spans="1:5" ht="10.5">
      <c r="A88" s="21">
        <f t="shared" si="7"/>
        <v>85</v>
      </c>
      <c r="B88" s="19">
        <f ca="1" t="shared" si="5"/>
        <v>0</v>
      </c>
      <c r="C88" s="20">
        <f ca="1" t="shared" si="5"/>
        <v>0</v>
      </c>
      <c r="D88" s="19">
        <f ca="1" t="shared" si="6"/>
        <v>0</v>
      </c>
      <c r="E88" s="20">
        <f ca="1" t="shared" si="6"/>
        <v>0</v>
      </c>
    </row>
    <row r="89" spans="1:5" ht="10.5">
      <c r="A89" s="21">
        <f t="shared" si="7"/>
        <v>86</v>
      </c>
      <c r="B89" s="19">
        <f ca="1" t="shared" si="5"/>
        <v>0</v>
      </c>
      <c r="C89" s="20">
        <f ca="1" t="shared" si="5"/>
        <v>0</v>
      </c>
      <c r="D89" s="19">
        <f ca="1" t="shared" si="6"/>
        <v>0</v>
      </c>
      <c r="E89" s="20">
        <f ca="1" t="shared" si="6"/>
        <v>0</v>
      </c>
    </row>
    <row r="90" spans="1:5" ht="10.5">
      <c r="A90" s="21">
        <f t="shared" si="7"/>
        <v>87</v>
      </c>
      <c r="B90" s="19">
        <f ca="1" t="shared" si="5"/>
        <v>0</v>
      </c>
      <c r="C90" s="20">
        <f ca="1" t="shared" si="5"/>
        <v>0</v>
      </c>
      <c r="D90" s="19">
        <f ca="1" t="shared" si="6"/>
        <v>0</v>
      </c>
      <c r="E90" s="20">
        <f ca="1" t="shared" si="6"/>
        <v>0</v>
      </c>
    </row>
    <row r="91" spans="1:5" ht="10.5">
      <c r="A91" s="21">
        <f t="shared" si="7"/>
        <v>88</v>
      </c>
      <c r="B91" s="19">
        <f ca="1" t="shared" si="5"/>
        <v>0</v>
      </c>
      <c r="C91" s="20">
        <f ca="1" t="shared" si="5"/>
        <v>0</v>
      </c>
      <c r="D91" s="19">
        <f ca="1" t="shared" si="6"/>
        <v>0</v>
      </c>
      <c r="E91" s="20">
        <f ca="1" t="shared" si="6"/>
        <v>0</v>
      </c>
    </row>
    <row r="92" spans="1:5" ht="10.5">
      <c r="A92" s="21">
        <f t="shared" si="7"/>
        <v>89</v>
      </c>
      <c r="B92" s="19">
        <f ca="1" t="shared" si="5"/>
        <v>0</v>
      </c>
      <c r="C92" s="20">
        <f ca="1" t="shared" si="5"/>
        <v>0</v>
      </c>
      <c r="D92" s="19">
        <f ca="1" t="shared" si="6"/>
        <v>0</v>
      </c>
      <c r="E92" s="20">
        <f ca="1" t="shared" si="6"/>
        <v>0</v>
      </c>
    </row>
    <row r="93" spans="1:5" ht="10.5">
      <c r="A93" s="21">
        <f t="shared" si="7"/>
        <v>90</v>
      </c>
      <c r="B93" s="19">
        <f ca="1" t="shared" si="5"/>
        <v>0</v>
      </c>
      <c r="C93" s="20">
        <f ca="1" t="shared" si="5"/>
        <v>0</v>
      </c>
      <c r="D93" s="19">
        <f ca="1" t="shared" si="6"/>
        <v>0</v>
      </c>
      <c r="E93" s="20">
        <f ca="1" t="shared" si="6"/>
        <v>0</v>
      </c>
    </row>
    <row r="94" spans="1:5" ht="10.5">
      <c r="A94" s="21">
        <f t="shared" si="7"/>
        <v>91</v>
      </c>
      <c r="B94" s="19">
        <f ca="1" t="shared" si="5"/>
        <v>0</v>
      </c>
      <c r="C94" s="20">
        <f ca="1" t="shared" si="5"/>
        <v>0</v>
      </c>
      <c r="D94" s="19">
        <f ca="1" t="shared" si="6"/>
        <v>0</v>
      </c>
      <c r="E94" s="20">
        <f ca="1" t="shared" si="6"/>
        <v>0</v>
      </c>
    </row>
    <row r="95" spans="1:5" ht="10.5">
      <c r="A95" s="21">
        <f t="shared" si="7"/>
        <v>92</v>
      </c>
      <c r="B95" s="19">
        <f ca="1" t="shared" si="5"/>
        <v>0</v>
      </c>
      <c r="C95" s="20">
        <f ca="1" t="shared" si="5"/>
        <v>0</v>
      </c>
      <c r="D95" s="19">
        <f ca="1" t="shared" si="6"/>
        <v>0</v>
      </c>
      <c r="E95" s="20">
        <f ca="1" t="shared" si="6"/>
        <v>0</v>
      </c>
    </row>
    <row r="96" spans="1:5" ht="10.5">
      <c r="A96" s="21">
        <f t="shared" si="7"/>
        <v>93</v>
      </c>
      <c r="B96" s="19">
        <f ca="1" t="shared" si="5"/>
        <v>0</v>
      </c>
      <c r="C96" s="20">
        <f ca="1" t="shared" si="5"/>
        <v>0</v>
      </c>
      <c r="D96" s="19">
        <f ca="1" t="shared" si="6"/>
        <v>0</v>
      </c>
      <c r="E96" s="20">
        <f ca="1" t="shared" si="6"/>
        <v>0</v>
      </c>
    </row>
    <row r="97" spans="1:5" ht="10.5">
      <c r="A97" s="21">
        <f t="shared" si="7"/>
        <v>94</v>
      </c>
      <c r="B97" s="19">
        <f ca="1" t="shared" si="5"/>
        <v>0</v>
      </c>
      <c r="C97" s="20">
        <f ca="1" t="shared" si="5"/>
        <v>0</v>
      </c>
      <c r="D97" s="22">
        <f ca="1" t="shared" si="6"/>
        <v>0</v>
      </c>
      <c r="E97" s="23">
        <f ca="1" t="shared" si="6"/>
        <v>0</v>
      </c>
    </row>
    <row r="98" spans="1:3" ht="10.5">
      <c r="A98" s="21">
        <f t="shared" si="7"/>
        <v>95</v>
      </c>
      <c r="B98" s="19">
        <f ca="1" t="shared" si="5"/>
        <v>0</v>
      </c>
      <c r="C98" s="20">
        <f ca="1" t="shared" si="5"/>
        <v>0</v>
      </c>
    </row>
    <row r="99" spans="1:3" ht="10.5">
      <c r="A99" s="21">
        <f t="shared" si="7"/>
        <v>96</v>
      </c>
      <c r="B99" s="19">
        <f ca="1" t="shared" si="8" ref="B99:C105">INDIRECT(ADDRESS(12+(ROW()-4)*3+(COLUMN()-2),2,3,TRUE,"RawDataInput"))</f>
        <v>0</v>
      </c>
      <c r="C99" s="20">
        <f ca="1" t="shared" si="8"/>
        <v>0</v>
      </c>
    </row>
    <row r="100" spans="1:3" ht="10.5">
      <c r="A100" s="21">
        <f t="shared" si="7"/>
        <v>97</v>
      </c>
      <c r="B100" s="19">
        <f ca="1" t="shared" si="8"/>
        <v>0</v>
      </c>
      <c r="C100" s="20">
        <f ca="1" t="shared" si="8"/>
        <v>0</v>
      </c>
    </row>
    <row r="101" spans="1:3" ht="10.5">
      <c r="A101" s="21">
        <f t="shared" si="7"/>
        <v>98</v>
      </c>
      <c r="B101" s="19">
        <f ca="1" t="shared" si="8"/>
        <v>0</v>
      </c>
      <c r="C101" s="20">
        <f ca="1" t="shared" si="8"/>
        <v>0</v>
      </c>
    </row>
    <row r="102" spans="1:3" ht="10.5">
      <c r="A102" s="21">
        <f t="shared" si="7"/>
        <v>99</v>
      </c>
      <c r="B102" s="19">
        <f ca="1" t="shared" si="8"/>
        <v>0</v>
      </c>
      <c r="C102" s="20">
        <f ca="1" t="shared" si="8"/>
        <v>0</v>
      </c>
    </row>
    <row r="103" spans="1:3" ht="10.5">
      <c r="A103" s="21">
        <f t="shared" si="7"/>
        <v>100</v>
      </c>
      <c r="B103" s="19">
        <f ca="1" t="shared" si="8"/>
        <v>0</v>
      </c>
      <c r="C103" s="20">
        <f ca="1" t="shared" si="8"/>
        <v>0</v>
      </c>
    </row>
    <row r="104" spans="1:3" ht="10.5">
      <c r="A104" s="21">
        <f t="shared" si="7"/>
        <v>101</v>
      </c>
      <c r="B104" s="19">
        <f ca="1" t="shared" si="8"/>
        <v>0</v>
      </c>
      <c r="C104" s="20">
        <f ca="1" t="shared" si="8"/>
        <v>0</v>
      </c>
    </row>
    <row r="105" spans="1:3" ht="10.5">
      <c r="A105" s="24">
        <f t="shared" si="7"/>
        <v>102</v>
      </c>
      <c r="B105" s="22">
        <f ca="1" t="shared" si="8"/>
        <v>0</v>
      </c>
      <c r="C105" s="23">
        <f ca="1" t="shared" si="8"/>
        <v>0</v>
      </c>
    </row>
  </sheetData>
  <printOptions/>
  <pageMargins left="0.75" right="0.75" top="1" bottom="1" header="0.512" footer="0.512"/>
  <pageSetup fitToHeight="1" fitToWidth="1" orientation="portrait" paperSize="9" scale="53" r:id="rId2"/>
  <headerFooter alignWithMargins="0">
    <oddHeader>&amp;C&amp;F</oddHeader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8"/>
  <sheetViews>
    <sheetView workbookViewId="0" topLeftCell="A162">
      <selection activeCell="C173" sqref="C173"/>
    </sheetView>
  </sheetViews>
  <sheetFormatPr defaultColWidth="9.140625" defaultRowHeight="12"/>
  <cols>
    <col min="1" max="1" width="17.00390625" style="4" customWidth="1"/>
    <col min="2" max="16384" width="12.00390625" style="0" customWidth="1"/>
  </cols>
  <sheetData>
    <row r="1" spans="1:2" ht="10.5">
      <c r="A1" s="4" t="str">
        <f>RawDataInput!A1</f>
        <v>Module</v>
      </c>
      <c r="B1" t="str">
        <f>RawDataInput!B1</f>
        <v>20220170200042</v>
      </c>
    </row>
    <row r="2" spans="1:2" ht="10.5">
      <c r="A2" s="4" t="str">
        <f>RawDataInput!A2</f>
        <v>Date [dd/mm/yyy]</v>
      </c>
      <c r="B2" t="str">
        <f>RawDataInput!B2</f>
        <v>09/05/2002</v>
      </c>
    </row>
    <row r="3" spans="1:2" ht="10.5">
      <c r="A3" s="4" t="str">
        <f>RawDataInput!A3</f>
        <v>eventDescription</v>
      </c>
      <c r="B3" t="str">
        <f>RawDataInput!B3</f>
        <v>SURVEY_Z-INITIAL</v>
      </c>
    </row>
    <row r="4" spans="1:2" ht="10.5">
      <c r="A4" s="4" t="str">
        <f>RawDataInput!A5</f>
        <v>Temperature [C]</v>
      </c>
      <c r="B4" s="27" t="str">
        <f>RawDataInput!B5</f>
        <v>25.7</v>
      </c>
    </row>
    <row r="5" spans="1:2" ht="10.5">
      <c r="A5" s="4" t="str">
        <f>RawDataInput!A4</f>
        <v>Comment</v>
      </c>
      <c r="B5" t="str">
        <f>RawDataInput!B4</f>
        <v>FnameUpper=IN_Upper_20220170200042_KEK20020508121319.csv, FnameLower=IN_Lower_20220170200042_KEK20020508123621.csv</v>
      </c>
    </row>
    <row r="7" spans="1:4" ht="10.5">
      <c r="A7" s="12" t="s">
        <v>313</v>
      </c>
      <c r="B7" s="3" t="s">
        <v>310</v>
      </c>
      <c r="C7" s="3" t="s">
        <v>311</v>
      </c>
      <c r="D7" s="3"/>
    </row>
    <row r="8" spans="1:4" ht="10.5">
      <c r="A8" s="4" t="str">
        <f>TEXT((ROW()-8)/3+1,"#0 x")</f>
        <v>1 x</v>
      </c>
      <c r="B8">
        <f>RawDataInput!B12</f>
        <v>-62.4821065090849</v>
      </c>
      <c r="C8">
        <f>RawDataInput!C12</f>
        <v>-63.7949930678326</v>
      </c>
      <c r="D8" t="s">
        <v>314</v>
      </c>
    </row>
    <row r="9" spans="1:3" ht="10.5">
      <c r="A9" s="4" t="s">
        <v>128</v>
      </c>
      <c r="B9">
        <f>RawDataInput!B13</f>
        <v>34.0759026182884</v>
      </c>
      <c r="C9">
        <f>RawDataInput!C13</f>
        <v>-31.5501170481328</v>
      </c>
    </row>
    <row r="10" spans="1:3" ht="10.5">
      <c r="A10" s="4" t="s">
        <v>292</v>
      </c>
      <c r="B10">
        <f>RawDataInput!B14</f>
        <v>0.744785025035811</v>
      </c>
      <c r="C10">
        <f>RawDataInput!C14</f>
        <v>-0.00546071342940743</v>
      </c>
    </row>
    <row r="11" spans="1:3" ht="10.5">
      <c r="A11" s="4" t="str">
        <f>TEXT((ROW()-8)/3+1,"#0 x")</f>
        <v>2 x</v>
      </c>
      <c r="B11">
        <f>RawDataInput!B15</f>
        <v>-46.6197089139676</v>
      </c>
      <c r="C11">
        <f>RawDataInput!C15</f>
        <v>-47.9198925757607</v>
      </c>
    </row>
    <row r="12" spans="1:3" ht="10.5">
      <c r="A12" s="4" t="s">
        <v>128</v>
      </c>
      <c r="B12">
        <f>RawDataInput!B16</f>
        <v>33.4410752396803</v>
      </c>
      <c r="C12">
        <f>RawDataInput!C16</f>
        <v>-31.5500542483215</v>
      </c>
    </row>
    <row r="13" spans="1:3" ht="10.5">
      <c r="A13" s="4" t="s">
        <v>292</v>
      </c>
      <c r="B13">
        <f>RawDataInput!B17</f>
        <v>0.776622636918301</v>
      </c>
      <c r="C13">
        <f>RawDataInput!C17</f>
        <v>0.0324977226242781</v>
      </c>
    </row>
    <row r="14" spans="1:3" ht="10.5">
      <c r="A14" s="4" t="str">
        <f>TEXT((ROW()-8)/3+1,"#0 x")</f>
        <v>3 x</v>
      </c>
      <c r="B14">
        <f>RawDataInput!B18</f>
        <v>-30.7573885027137</v>
      </c>
      <c r="C14">
        <f>RawDataInput!C18</f>
        <v>-32.0448138760563</v>
      </c>
    </row>
    <row r="15" spans="1:3" ht="10.5">
      <c r="A15" s="4" t="s">
        <v>128</v>
      </c>
      <c r="B15">
        <f>RawDataInput!B19</f>
        <v>32.806344160846</v>
      </c>
      <c r="C15">
        <f>RawDataInput!C19</f>
        <v>-31.5500932525561</v>
      </c>
    </row>
    <row r="16" spans="1:3" ht="10.5">
      <c r="A16" s="4" t="s">
        <v>292</v>
      </c>
      <c r="B16">
        <f>RawDataInput!B20</f>
        <v>0.790715064760565</v>
      </c>
      <c r="C16">
        <f>RawDataInput!C20</f>
        <v>0.0524704834200497</v>
      </c>
    </row>
    <row r="17" spans="1:3" ht="10.5">
      <c r="A17" s="4" t="str">
        <f>TEXT((ROW()-8)/3+1,"#0 x")</f>
        <v>4 x</v>
      </c>
      <c r="B17">
        <f>RawDataInput!B21</f>
        <v>-14.8951186256227</v>
      </c>
      <c r="C17">
        <f>RawDataInput!C21</f>
        <v>-16.1697049300949</v>
      </c>
    </row>
    <row r="18" spans="1:3" ht="10.5">
      <c r="A18" s="4" t="s">
        <v>128</v>
      </c>
      <c r="B18">
        <f>RawDataInput!B22</f>
        <v>32.1715114301821</v>
      </c>
      <c r="C18">
        <f>RawDataInput!C22</f>
        <v>-31.5501326775782</v>
      </c>
    </row>
    <row r="19" spans="1:3" ht="10.5">
      <c r="A19" s="4" t="s">
        <v>292</v>
      </c>
      <c r="B19">
        <f>RawDataInput!B23</f>
        <v>0.79560926990494</v>
      </c>
      <c r="C19">
        <f>RawDataInput!C23</f>
        <v>0.0634778941419052</v>
      </c>
    </row>
    <row r="20" spans="1:3" ht="10.5">
      <c r="A20" s="4" t="str">
        <f>TEXT((ROW()-8)/3+1,"#0 x")</f>
        <v>5 x</v>
      </c>
      <c r="B20">
        <f>RawDataInput!B24</f>
        <v>0.967211323612049</v>
      </c>
      <c r="C20">
        <f>RawDataInput!C24</f>
        <v>-0.294837168512937</v>
      </c>
    </row>
    <row r="21" spans="1:3" ht="10.5">
      <c r="A21" s="4" t="s">
        <v>128</v>
      </c>
      <c r="B21">
        <f>RawDataInput!B25</f>
        <v>31.5366733684116</v>
      </c>
      <c r="C21">
        <f>RawDataInput!C25</f>
        <v>-31.5500753064453</v>
      </c>
    </row>
    <row r="22" spans="1:3" ht="10.5">
      <c r="A22" s="4" t="s">
        <v>292</v>
      </c>
      <c r="B22">
        <f>RawDataInput!B26</f>
        <v>0.790977346948885</v>
      </c>
      <c r="C22">
        <f>RawDataInput!C26</f>
        <v>0.0694860387838796</v>
      </c>
    </row>
    <row r="23" spans="1:3" ht="10.5">
      <c r="A23" s="4" t="str">
        <f>TEXT((ROW()-8)/3+1,"#0 x")</f>
        <v>6 x</v>
      </c>
      <c r="B23">
        <f>RawDataInput!B27</f>
        <v>-63.1126784652347</v>
      </c>
      <c r="C23">
        <f>RawDataInput!C27</f>
        <v>-63.7948513340073</v>
      </c>
    </row>
    <row r="24" spans="1:3" ht="10.5">
      <c r="A24" s="4" t="s">
        <v>128</v>
      </c>
      <c r="B24">
        <f>RawDataInput!B28</f>
        <v>18.312437242667</v>
      </c>
      <c r="C24">
        <f>RawDataInput!C28</f>
        <v>-15.7750033007856</v>
      </c>
    </row>
    <row r="25" spans="1:3" ht="10.5">
      <c r="A25" s="4" t="s">
        <v>292</v>
      </c>
      <c r="B25">
        <f>RawDataInput!B29</f>
        <v>0.760081963265842</v>
      </c>
      <c r="C25">
        <f>RawDataInput!C29</f>
        <v>0.0151945733520424</v>
      </c>
    </row>
    <row r="26" spans="1:3" ht="10.5">
      <c r="A26" s="4" t="str">
        <f>TEXT((ROW()-8)/3+1,"#0 x")</f>
        <v>7 x</v>
      </c>
      <c r="B26">
        <f>RawDataInput!B30</f>
        <v>-47.2504928405288</v>
      </c>
      <c r="C26">
        <f>RawDataInput!C30</f>
        <v>-47.9198396347687</v>
      </c>
    </row>
    <row r="27" spans="1:3" ht="10.5">
      <c r="A27" s="4" t="s">
        <v>128</v>
      </c>
      <c r="B27">
        <f>RawDataInput!B31</f>
        <v>17.6777158153007</v>
      </c>
      <c r="C27">
        <f>RawDataInput!C31</f>
        <v>-15.775041530059</v>
      </c>
    </row>
    <row r="28" spans="1:3" ht="10.5">
      <c r="A28" s="4" t="s">
        <v>292</v>
      </c>
      <c r="B28">
        <f>RawDataInput!B32</f>
        <v>0.788849813292503</v>
      </c>
      <c r="C28">
        <f>RawDataInput!C32</f>
        <v>0.053196775413888</v>
      </c>
    </row>
    <row r="29" spans="1:3" ht="10.5">
      <c r="A29" s="4" t="str">
        <f>TEXT((ROW()-8)/3+1,"#0 x")</f>
        <v>8 x</v>
      </c>
      <c r="B29">
        <f>RawDataInput!B33</f>
        <v>-31.3881805296297</v>
      </c>
      <c r="C29">
        <f>RawDataInput!C33</f>
        <v>-32.0448834423754</v>
      </c>
    </row>
    <row r="30" spans="1:3" ht="10.5">
      <c r="A30" s="4" t="s">
        <v>128</v>
      </c>
      <c r="B30">
        <f>RawDataInput!B34</f>
        <v>17.0428838338188</v>
      </c>
      <c r="C30">
        <f>RawDataInput!C34</f>
        <v>-15.7750823981291</v>
      </c>
    </row>
    <row r="31" spans="1:3" ht="10.5">
      <c r="A31" s="4" t="s">
        <v>292</v>
      </c>
      <c r="B31">
        <f>RawDataInput!B35</f>
        <v>0.799620630346143</v>
      </c>
      <c r="C31">
        <f>RawDataInput!C35</f>
        <v>0.0679252476004879</v>
      </c>
    </row>
    <row r="32" spans="1:3" ht="10.5">
      <c r="A32" s="4" t="str">
        <f>TEXT((ROW()-8)/3+1,"#0 x")</f>
        <v>9 x</v>
      </c>
      <c r="B32">
        <f>RawDataInput!B36</f>
        <v>-15.525813996146</v>
      </c>
      <c r="C32">
        <f>RawDataInput!C36</f>
        <v>-16.1696933431667</v>
      </c>
    </row>
    <row r="33" spans="1:3" ht="10.5">
      <c r="A33" s="4" t="s">
        <v>128</v>
      </c>
      <c r="B33">
        <f>RawDataInput!B37</f>
        <v>16.4082469288077</v>
      </c>
      <c r="C33">
        <f>RawDataInput!C37</f>
        <v>-15.7751214639691</v>
      </c>
    </row>
    <row r="34" spans="1:3" ht="10.5">
      <c r="A34" s="4" t="s">
        <v>292</v>
      </c>
      <c r="B34">
        <f>RawDataInput!B38</f>
        <v>0.80118786804086</v>
      </c>
      <c r="C34">
        <f>RawDataInput!C38</f>
        <v>0.0722102028561138</v>
      </c>
    </row>
    <row r="35" spans="1:3" ht="10.5">
      <c r="A35" s="4" t="str">
        <f>TEXT((ROW()-8)/3+1,"#0 x")</f>
        <v>10 x</v>
      </c>
      <c r="B35">
        <f>RawDataInput!B39</f>
        <v>0.336509456898696</v>
      </c>
      <c r="C35">
        <f>RawDataInput!C39</f>
        <v>-0.294736808611198</v>
      </c>
    </row>
    <row r="36" spans="1:3" ht="10.5">
      <c r="A36" s="4" t="s">
        <v>128</v>
      </c>
      <c r="B36">
        <f>RawDataInput!B40</f>
        <v>15.7733090449332</v>
      </c>
      <c r="C36">
        <f>RawDataInput!C40</f>
        <v>-15.7750635517256</v>
      </c>
    </row>
    <row r="37" spans="1:3" ht="10.5">
      <c r="A37" s="4" t="s">
        <v>292</v>
      </c>
      <c r="B37">
        <f>RawDataInput!B41</f>
        <v>0.796438736960382</v>
      </c>
      <c r="C37">
        <f>RawDataInput!C41</f>
        <v>0.0725907675243516</v>
      </c>
    </row>
    <row r="38" spans="1:3" ht="10.5">
      <c r="A38" s="4" t="str">
        <f>TEXT((ROW()-8)/3+1,"#0 x")</f>
        <v>11 x</v>
      </c>
      <c r="B38">
        <f>RawDataInput!B42</f>
        <v>-63.743688477455</v>
      </c>
      <c r="C38">
        <f>RawDataInput!C42</f>
        <v>-63.794945702072</v>
      </c>
    </row>
    <row r="39" spans="1:3" ht="10.5">
      <c r="A39" s="4" t="s">
        <v>128</v>
      </c>
      <c r="B39">
        <f>RawDataInput!B43</f>
        <v>2.54906025173856</v>
      </c>
      <c r="C39">
        <f>RawDataInput!C43</f>
        <v>1.38550066534508E-06</v>
      </c>
    </row>
    <row r="40" spans="1:3" ht="10.5">
      <c r="A40" s="4" t="s">
        <v>292</v>
      </c>
      <c r="B40">
        <f>RawDataInput!B44</f>
        <v>0.761531599496557</v>
      </c>
      <c r="C40">
        <f>RawDataInput!C44</f>
        <v>0.0225225464352091</v>
      </c>
    </row>
    <row r="41" spans="1:3" ht="10.5">
      <c r="A41" s="4" t="str">
        <f>TEXT((ROW()-8)/3+1,"#0 x")</f>
        <v>12 x</v>
      </c>
      <c r="B41">
        <f>RawDataInput!B45</f>
        <v>-47.8812114926468</v>
      </c>
      <c r="C41">
        <f>RawDataInput!C45</f>
        <v>-47.9198322084721</v>
      </c>
    </row>
    <row r="42" spans="1:3" ht="10.5">
      <c r="A42" s="4" t="s">
        <v>128</v>
      </c>
      <c r="B42">
        <f>RawDataInput!B46</f>
        <v>1.91432550768618</v>
      </c>
      <c r="C42">
        <f>RawDataInput!C46</f>
        <v>-0.000134494448910763</v>
      </c>
    </row>
    <row r="43" spans="1:3" ht="10.5">
      <c r="A43" s="4" t="s">
        <v>292</v>
      </c>
      <c r="B43">
        <f>RawDataInput!B47</f>
        <v>0.789603310157031</v>
      </c>
      <c r="C43">
        <f>RawDataInput!C47</f>
        <v>0.0572241091127144</v>
      </c>
    </row>
    <row r="44" spans="1:3" ht="10.5">
      <c r="A44" s="4" t="str">
        <f>TEXT((ROW()-8)/3+1,"#0 x")</f>
        <v>13 x</v>
      </c>
      <c r="B44">
        <f>RawDataInput!B48</f>
        <v>-32.0189034309564</v>
      </c>
      <c r="C44">
        <f>RawDataInput!C48</f>
        <v>-32.0447957477032</v>
      </c>
    </row>
    <row r="45" spans="1:3" ht="10.5">
      <c r="A45" s="4" t="s">
        <v>128</v>
      </c>
      <c r="B45">
        <f>RawDataInput!B49</f>
        <v>1.279489023357</v>
      </c>
      <c r="C45">
        <f>RawDataInput!C49</f>
        <v>-7.32917997533022E-05</v>
      </c>
    </row>
    <row r="46" spans="1:3" ht="10.5">
      <c r="A46" s="4" t="s">
        <v>292</v>
      </c>
      <c r="B46">
        <f>RawDataInput!B50</f>
        <v>0.797292062834617</v>
      </c>
      <c r="C46">
        <f>RawDataInput!C50</f>
        <v>0.0681250373471409</v>
      </c>
    </row>
    <row r="47" spans="1:3" ht="10.5">
      <c r="A47" s="4" t="str">
        <f>TEXT((ROW()-8)/3+1,"#0 x")</f>
        <v>14 x</v>
      </c>
      <c r="B47">
        <f>RawDataInput!B51</f>
        <v>-16.1567443802351</v>
      </c>
      <c r="C47">
        <f>RawDataInput!C51</f>
        <v>-16.1697074555439</v>
      </c>
    </row>
    <row r="48" spans="1:3" ht="10.5">
      <c r="A48" s="4" t="s">
        <v>128</v>
      </c>
      <c r="B48">
        <f>RawDataInput!B52</f>
        <v>0.644655130523984</v>
      </c>
      <c r="C48">
        <f>RawDataInput!C52</f>
        <v>-0.000112121875913168</v>
      </c>
    </row>
    <row r="49" spans="1:3" ht="10.5">
      <c r="A49" s="4" t="s">
        <v>292</v>
      </c>
      <c r="B49">
        <f>RawDataInput!B53</f>
        <v>0.798537195687727</v>
      </c>
      <c r="C49">
        <f>RawDataInput!C53</f>
        <v>0.0717669478260962</v>
      </c>
    </row>
    <row r="50" spans="1:3" ht="10.5">
      <c r="A50" s="4" t="str">
        <f>TEXT((ROW()-8)/3+1,"#0 x")</f>
        <v>15 x</v>
      </c>
      <c r="B50">
        <f>RawDataInput!B54</f>
        <v>-0.294355501839662</v>
      </c>
      <c r="C50">
        <f>RawDataInput!C54</f>
        <v>-0.294887009574235</v>
      </c>
    </row>
    <row r="51" spans="1:3" ht="10.5">
      <c r="A51" s="4" t="s">
        <v>128</v>
      </c>
      <c r="B51">
        <f>RawDataInput!B55</f>
        <v>0.00990710482669582</v>
      </c>
      <c r="C51">
        <f>RawDataInput!C55</f>
        <v>-5.55601282725964E-05</v>
      </c>
    </row>
    <row r="52" spans="1:3" ht="10.5">
      <c r="A52" s="4" t="s">
        <v>292</v>
      </c>
      <c r="B52">
        <f>RawDataInput!B56</f>
        <v>0.780898457263153</v>
      </c>
      <c r="C52">
        <f>RawDataInput!C56</f>
        <v>0.0576461715763733</v>
      </c>
    </row>
    <row r="53" spans="1:3" ht="10.5">
      <c r="A53" s="4" t="str">
        <f>TEXT((ROW()-8)/3+1,"#0 x")</f>
        <v>16 x</v>
      </c>
      <c r="B53">
        <f>RawDataInput!B57</f>
        <v>-64.3744183512604</v>
      </c>
      <c r="C53">
        <f>RawDataInput!C57</f>
        <v>-63.7948769538242</v>
      </c>
    </row>
    <row r="54" spans="1:3" ht="10.5">
      <c r="A54" s="4" t="s">
        <v>128</v>
      </c>
      <c r="B54">
        <f>RawDataInput!B58</f>
        <v>-13.2142113530553</v>
      </c>
      <c r="C54">
        <f>RawDataInput!C58</f>
        <v>15.7748136155215</v>
      </c>
    </row>
    <row r="55" spans="1:3" ht="10.5">
      <c r="A55" s="4" t="s">
        <v>292</v>
      </c>
      <c r="B55">
        <f>RawDataInput!B59</f>
        <v>0.755014411534321</v>
      </c>
      <c r="C55">
        <f>RawDataInput!C59</f>
        <v>0.0159001925943784</v>
      </c>
    </row>
    <row r="56" spans="1:3" ht="10.5">
      <c r="A56" s="4" t="str">
        <f>TEXT((ROW()-8)/3+1,"#0 x")</f>
        <v>17 x</v>
      </c>
      <c r="B56">
        <f>RawDataInput!B60</f>
        <v>-48.5120484929924</v>
      </c>
      <c r="C56">
        <f>RawDataInput!C60</f>
        <v>-47.9197496104793</v>
      </c>
    </row>
    <row r="57" spans="1:3" ht="10.5">
      <c r="A57" s="4" t="s">
        <v>128</v>
      </c>
      <c r="B57">
        <f>RawDataInput!B61</f>
        <v>-13.8491429575652</v>
      </c>
      <c r="C57">
        <f>RawDataInput!C61</f>
        <v>15.7748836882425</v>
      </c>
    </row>
    <row r="58" spans="1:3" ht="10.5">
      <c r="A58" s="4" t="s">
        <v>292</v>
      </c>
      <c r="B58">
        <f>RawDataInput!B62</f>
        <v>0.785008454970028</v>
      </c>
      <c r="C58">
        <f>RawDataInput!C62</f>
        <v>0.0528496352461785</v>
      </c>
    </row>
    <row r="59" spans="1:3" ht="10.5">
      <c r="A59" s="4" t="str">
        <f>TEXT((ROW()-8)/3+1,"#0 x")</f>
        <v>18 x</v>
      </c>
      <c r="B59">
        <f>RawDataInput!B63</f>
        <v>-32.6497164196466</v>
      </c>
      <c r="C59">
        <f>RawDataInput!C63</f>
        <v>-32.0448090299216</v>
      </c>
    </row>
    <row r="60" spans="1:3" ht="10.5">
      <c r="A60" s="4" t="s">
        <v>128</v>
      </c>
      <c r="B60">
        <f>RawDataInput!B64</f>
        <v>-14.483879209736</v>
      </c>
      <c r="C60">
        <f>RawDataInput!C64</f>
        <v>15.7750497770424</v>
      </c>
    </row>
    <row r="61" spans="1:3" ht="10.5">
      <c r="A61" s="4" t="s">
        <v>292</v>
      </c>
      <c r="B61">
        <f>RawDataInput!B65</f>
        <v>0.798052871123505</v>
      </c>
      <c r="C61">
        <f>RawDataInput!C65</f>
        <v>0.0684460410924238</v>
      </c>
    </row>
    <row r="62" spans="1:3" ht="10.5">
      <c r="A62" s="4" t="str">
        <f>TEXT((ROW()-8)/3+1,"#0 x")</f>
        <v>19 x</v>
      </c>
      <c r="B62">
        <f>RawDataInput!B66</f>
        <v>-16.7874599228068</v>
      </c>
      <c r="C62">
        <f>RawDataInput!C66</f>
        <v>-16.1697168085156</v>
      </c>
    </row>
    <row r="63" spans="1:3" ht="10.5">
      <c r="A63" s="4" t="s">
        <v>128</v>
      </c>
      <c r="B63">
        <f>RawDataInput!B67</f>
        <v>-15.1187175140621</v>
      </c>
      <c r="C63">
        <f>RawDataInput!C67</f>
        <v>15.7749166627721</v>
      </c>
    </row>
    <row r="64" spans="1:3" ht="10.5">
      <c r="A64" s="4" t="s">
        <v>292</v>
      </c>
      <c r="B64">
        <f>RawDataInput!B68</f>
        <v>0.79846277503372</v>
      </c>
      <c r="C64">
        <f>RawDataInput!C68</f>
        <v>0.073101570408907</v>
      </c>
    </row>
    <row r="65" spans="1:3" ht="10.5">
      <c r="A65" s="4" t="str">
        <f>TEXT((ROW()-8)/3+1,"#0 x")</f>
        <v>20 x</v>
      </c>
      <c r="B65">
        <f>RawDataInput!B69</f>
        <v>-0.925132116353072</v>
      </c>
      <c r="C65">
        <f>RawDataInput!C69</f>
        <v>-0.294750374037517</v>
      </c>
    </row>
    <row r="66" spans="1:3" ht="10.5">
      <c r="A66" s="4" t="s">
        <v>128</v>
      </c>
      <c r="B66">
        <f>RawDataInput!B70</f>
        <v>-15.7534594692488</v>
      </c>
      <c r="C66">
        <f>RawDataInput!C70</f>
        <v>15.7748817261861</v>
      </c>
    </row>
    <row r="67" spans="1:3" ht="10.5">
      <c r="A67" s="4" t="s">
        <v>292</v>
      </c>
      <c r="B67">
        <f>RawDataInput!B71</f>
        <v>0.794982079622232</v>
      </c>
      <c r="C67">
        <f>RawDataInput!C71</f>
        <v>0.073385195374351</v>
      </c>
    </row>
    <row r="68" spans="1:3" ht="10.5">
      <c r="A68" s="4" t="str">
        <f>TEXT((ROW()-8)/3+1,"#0 x")</f>
        <v>21 x</v>
      </c>
      <c r="B68">
        <f>RawDataInput!B72</f>
        <v>-65.0053886739974</v>
      </c>
      <c r="C68">
        <f>RawDataInput!C72</f>
        <v>-63.7949510287994</v>
      </c>
    </row>
    <row r="69" spans="1:3" ht="10.5">
      <c r="A69" s="4" t="s">
        <v>128</v>
      </c>
      <c r="B69">
        <f>RawDataInput!B73</f>
        <v>-28.9776807371105</v>
      </c>
      <c r="C69">
        <f>RawDataInput!C73</f>
        <v>31.5499163736371</v>
      </c>
    </row>
    <row r="70" spans="1:3" ht="10.5">
      <c r="A70" s="4" t="s">
        <v>292</v>
      </c>
      <c r="B70">
        <f>RawDataInput!B74</f>
        <v>0.736982252254788</v>
      </c>
      <c r="C70">
        <f>RawDataInput!C74</f>
        <v>-0.00480267642318605</v>
      </c>
    </row>
    <row r="71" spans="1:3" ht="10.5">
      <c r="A71" s="4" t="str">
        <f>TEXT((ROW()-8)/3+1,"#0 x")</f>
        <v>22 x</v>
      </c>
      <c r="B71">
        <f>RawDataInput!B75</f>
        <v>-49.1429160519877</v>
      </c>
      <c r="C71">
        <f>RawDataInput!C75</f>
        <v>-47.9199098303673</v>
      </c>
    </row>
    <row r="72" spans="1:3" ht="10.5">
      <c r="A72" s="4" t="s">
        <v>128</v>
      </c>
      <c r="B72">
        <f>RawDataInput!B76</f>
        <v>-29.6125149437331</v>
      </c>
      <c r="C72">
        <f>RawDataInput!C76</f>
        <v>31.5499854812158</v>
      </c>
    </row>
    <row r="73" spans="1:3" ht="10.5">
      <c r="A73" s="4" t="s">
        <v>292</v>
      </c>
      <c r="B73">
        <f>RawDataInput!B77</f>
        <v>0.768959432224328</v>
      </c>
      <c r="C73">
        <f>RawDataInput!C77</f>
        <v>0.0335489582594551</v>
      </c>
    </row>
    <row r="74" spans="1:3" ht="10.5">
      <c r="A74" s="4" t="str">
        <f>TEXT((ROW()-8)/3+1,"#0 x")</f>
        <v>23 x</v>
      </c>
      <c r="B74">
        <f>RawDataInput!B78</f>
        <v>-33.2805681346087</v>
      </c>
      <c r="C74">
        <f>RawDataInput!C78</f>
        <v>-32.0448604469022</v>
      </c>
    </row>
    <row r="75" spans="1:3" ht="10.5">
      <c r="A75" s="4" t="s">
        <v>128</v>
      </c>
      <c r="B75">
        <f>RawDataInput!B79</f>
        <v>-30.2473500746985</v>
      </c>
      <c r="C75">
        <f>RawDataInput!C79</f>
        <v>31.55005320383</v>
      </c>
    </row>
    <row r="76" spans="1:3" ht="10.5">
      <c r="A76" s="4" t="s">
        <v>292</v>
      </c>
      <c r="B76">
        <f>RawDataInput!B80</f>
        <v>0.786795318653926</v>
      </c>
      <c r="C76">
        <f>RawDataInput!C80</f>
        <v>0.0546705532552888</v>
      </c>
    </row>
    <row r="77" spans="1:3" ht="10.5">
      <c r="A77" s="4" t="str">
        <f>TEXT((ROW()-8)/3+1,"#0 x")</f>
        <v>24 x</v>
      </c>
      <c r="B77">
        <f>RawDataInput!B81</f>
        <v>-17.4181906618847</v>
      </c>
      <c r="C77">
        <f>RawDataInput!C81</f>
        <v>-16.1698491342653</v>
      </c>
    </row>
    <row r="78" spans="1:3" ht="10.5">
      <c r="A78" s="4" t="s">
        <v>128</v>
      </c>
      <c r="B78">
        <f>RawDataInput!B82</f>
        <v>-30.882090149167</v>
      </c>
      <c r="C78">
        <f>RawDataInput!C82</f>
        <v>31.5499196490034</v>
      </c>
    </row>
    <row r="79" spans="1:3" ht="10.5">
      <c r="A79" s="4" t="s">
        <v>292</v>
      </c>
      <c r="B79">
        <f>RawDataInput!B83</f>
        <v>0.793224951808823</v>
      </c>
      <c r="C79">
        <f>RawDataInput!C83</f>
        <v>0.0661354172317423</v>
      </c>
    </row>
    <row r="80" spans="1:4" ht="10.5">
      <c r="A80" s="4" t="str">
        <f>TEXT((ROW()-8)/3+1,"#0 x")</f>
        <v>25 x</v>
      </c>
      <c r="B80" s="14">
        <f>RawDataInput!B84</f>
        <v>-1.55596173362266</v>
      </c>
      <c r="C80" s="14">
        <f>RawDataInput!C84</f>
        <v>-0.294867883604187</v>
      </c>
      <c r="D80" s="14"/>
    </row>
    <row r="81" spans="1:3" ht="10.5">
      <c r="A81" s="4" t="s">
        <v>128</v>
      </c>
      <c r="B81">
        <f>RawDataInput!B85</f>
        <v>-31.5169280634428</v>
      </c>
      <c r="C81">
        <f>RawDataInput!C85</f>
        <v>31.5498851064335</v>
      </c>
    </row>
    <row r="82" spans="1:4" ht="10.5">
      <c r="A82" s="4" t="s">
        <v>292</v>
      </c>
      <c r="B82" s="3">
        <f>RawDataInput!B86</f>
        <v>0.792189845789895</v>
      </c>
      <c r="C82" s="3">
        <f>RawDataInput!C86</f>
        <v>0.0700838076343606</v>
      </c>
      <c r="D82" s="3"/>
    </row>
    <row r="83" spans="1:4" ht="10.5">
      <c r="A83" s="4" t="str">
        <f>TEXT((ROW()-8)/3+1,"#0 x")</f>
        <v>26 x</v>
      </c>
      <c r="B83">
        <f>RawDataInput!B87</f>
        <v>1.55693702006369</v>
      </c>
      <c r="C83">
        <f>RawDataInput!C87</f>
        <v>0.295286288095772</v>
      </c>
      <c r="D83" t="s">
        <v>315</v>
      </c>
    </row>
    <row r="84" spans="1:3" ht="10.5">
      <c r="A84" s="4" t="s">
        <v>128</v>
      </c>
      <c r="B84">
        <f>RawDataInput!B88</f>
        <v>31.5129988269387</v>
      </c>
      <c r="C84">
        <f>RawDataInput!C88</f>
        <v>-31.5500667819049</v>
      </c>
    </row>
    <row r="85" spans="1:3" ht="10.5">
      <c r="A85" s="4" t="s">
        <v>292</v>
      </c>
      <c r="B85">
        <f>RawDataInput!B89</f>
        <v>0.790395010150665</v>
      </c>
      <c r="C85">
        <f>RawDataInput!C89</f>
        <v>0.0689443755058901</v>
      </c>
    </row>
    <row r="86" spans="1:3" ht="10.5">
      <c r="A86" s="4" t="str">
        <f>TEXT((ROW()-8)/3+1,"#0 x")</f>
        <v>27 x</v>
      </c>
      <c r="B86">
        <f>RawDataInput!B90</f>
        <v>17.4222167563096</v>
      </c>
      <c r="C86">
        <f>RawDataInput!C90</f>
        <v>16.1730994704825</v>
      </c>
    </row>
    <row r="87" spans="1:3" ht="10.5">
      <c r="A87" s="4" t="s">
        <v>128</v>
      </c>
      <c r="B87">
        <f>RawDataInput!B91</f>
        <v>30.87841862573</v>
      </c>
      <c r="C87">
        <f>RawDataInput!C91</f>
        <v>-31.5498904924328</v>
      </c>
    </row>
    <row r="88" spans="1:3" ht="10.5">
      <c r="A88" s="4" t="s">
        <v>292</v>
      </c>
      <c r="B88">
        <f>RawDataInput!B92</f>
        <v>1.78776734870476</v>
      </c>
      <c r="C88">
        <f>RawDataInput!C92</f>
        <v>1.06412725742742</v>
      </c>
    </row>
    <row r="89" spans="1:3" ht="10.5">
      <c r="A89" s="4" t="str">
        <f>TEXT((ROW()-8)/3+1,"#0 x")</f>
        <v>28 x</v>
      </c>
      <c r="B89">
        <f>RawDataInput!B93</f>
        <v>33.2815599549184</v>
      </c>
      <c r="C89">
        <f>RawDataInput!C93</f>
        <v>32.0450968911031</v>
      </c>
    </row>
    <row r="90" spans="1:3" ht="10.5">
      <c r="A90" s="4" t="s">
        <v>128</v>
      </c>
      <c r="B90">
        <f>RawDataInput!B94</f>
        <v>30.2434289996399</v>
      </c>
      <c r="C90">
        <f>RawDataInput!C94</f>
        <v>-31.5499538272235</v>
      </c>
    </row>
    <row r="91" spans="1:3" ht="10.5">
      <c r="A91" s="4" t="s">
        <v>292</v>
      </c>
      <c r="B91">
        <f>RawDataInput!B95</f>
        <v>0.795378197553865</v>
      </c>
      <c r="C91">
        <f>RawDataInput!C95</f>
        <v>0.0500518842733434</v>
      </c>
    </row>
    <row r="92" spans="1:3" ht="10.5">
      <c r="A92" s="4" t="str">
        <f>TEXT((ROW()-8)/3+1,"#0 x")</f>
        <v>29 x</v>
      </c>
      <c r="B92">
        <f>RawDataInput!B96</f>
        <v>49.1438232123196</v>
      </c>
      <c r="C92">
        <f>RawDataInput!C96</f>
        <v>47.9200214784094</v>
      </c>
    </row>
    <row r="93" spans="1:3" ht="10.5">
      <c r="A93" s="4" t="s">
        <v>128</v>
      </c>
      <c r="B93">
        <f>RawDataInput!B97</f>
        <v>29.6084898052698</v>
      </c>
      <c r="C93">
        <f>RawDataInput!C97</f>
        <v>-31.5499978358362</v>
      </c>
    </row>
    <row r="94" spans="1:3" ht="10.5">
      <c r="A94" s="4" t="s">
        <v>292</v>
      </c>
      <c r="B94">
        <f>RawDataInput!B98</f>
        <v>0.781523166107317</v>
      </c>
      <c r="C94">
        <f>RawDataInput!C98</f>
        <v>0.0324509873644867</v>
      </c>
    </row>
    <row r="95" spans="1:3" ht="10.5">
      <c r="A95" s="4" t="str">
        <f>TEXT((ROW()-8)/3+1,"#0 x")</f>
        <v>30 x</v>
      </c>
      <c r="B95">
        <f>RawDataInput!B99</f>
        <v>65.0061022760095</v>
      </c>
      <c r="C95">
        <f>RawDataInput!C99</f>
        <v>63.7950181058844</v>
      </c>
    </row>
    <row r="96" spans="1:3" ht="10.5">
      <c r="A96" s="4" t="s">
        <v>128</v>
      </c>
      <c r="B96">
        <f>RawDataInput!B100</f>
        <v>28.9736430391145</v>
      </c>
      <c r="C96">
        <f>RawDataInput!C100</f>
        <v>-31.5500427302175</v>
      </c>
    </row>
    <row r="97" spans="1:3" ht="10.5">
      <c r="A97" s="4" t="s">
        <v>292</v>
      </c>
      <c r="B97">
        <f>RawDataInput!B101</f>
        <v>0.747567796328577</v>
      </c>
      <c r="C97">
        <f>RawDataInput!C101</f>
        <v>-0.00514713427233598</v>
      </c>
    </row>
    <row r="98" spans="1:3" ht="10.5">
      <c r="A98" s="4" t="str">
        <f>TEXT((ROW()-8)/3+1,"#0 x")</f>
        <v>31 x</v>
      </c>
      <c r="B98">
        <f>RawDataInput!B102</f>
        <v>0.926233850241828</v>
      </c>
      <c r="C98">
        <f>RawDataInput!C102</f>
        <v>0.295188524424768</v>
      </c>
    </row>
    <row r="99" spans="1:3" ht="10.5">
      <c r="A99" s="4" t="s">
        <v>128</v>
      </c>
      <c r="B99">
        <f>RawDataInput!B103</f>
        <v>15.7495347322022</v>
      </c>
      <c r="C99">
        <f>RawDataInput!C103</f>
        <v>-15.7750572562853</v>
      </c>
    </row>
    <row r="100" spans="1:3" ht="10.5">
      <c r="A100" s="4" t="s">
        <v>292</v>
      </c>
      <c r="B100">
        <f>RawDataInput!B104</f>
        <v>0.796521495318253</v>
      </c>
      <c r="C100">
        <f>RawDataInput!C104</f>
        <v>0.0727123492194927</v>
      </c>
    </row>
    <row r="101" spans="1:3" ht="10.5">
      <c r="A101" s="4" t="str">
        <f>TEXT((ROW()-8)/3+1,"#0 x")</f>
        <v>32 x</v>
      </c>
      <c r="B101">
        <f>RawDataInput!B105</f>
        <v>16.7928474780757</v>
      </c>
      <c r="C101">
        <f>RawDataInput!C105</f>
        <v>16.1744255417821</v>
      </c>
    </row>
    <row r="102" spans="1:3" ht="10.5">
      <c r="A102" s="4" t="s">
        <v>128</v>
      </c>
      <c r="B102">
        <f>RawDataInput!B106</f>
        <v>15.1151831962125</v>
      </c>
      <c r="C102">
        <f>RawDataInput!C106</f>
        <v>-15.7748212222047</v>
      </c>
    </row>
    <row r="103" spans="1:3" ht="10.5">
      <c r="A103" s="4" t="s">
        <v>292</v>
      </c>
      <c r="B103">
        <f>RawDataInput!B107</f>
        <v>2.28080352029622</v>
      </c>
      <c r="C103">
        <f>RawDataInput!C107</f>
        <v>1.57237506336387</v>
      </c>
    </row>
    <row r="104" spans="1:3" ht="10.5">
      <c r="A104" s="4" t="str">
        <f>TEXT((ROW()-8)/3+1,"#0 x")</f>
        <v>33 x</v>
      </c>
      <c r="B104">
        <f>RawDataInput!B108</f>
        <v>32.6508432604881</v>
      </c>
      <c r="C104">
        <f>RawDataInput!C108</f>
        <v>32.0453501162558</v>
      </c>
    </row>
    <row r="105" spans="1:3" ht="10.5">
      <c r="A105" s="4" t="s">
        <v>128</v>
      </c>
      <c r="B105">
        <f>RawDataInput!B109</f>
        <v>14.4798662223849</v>
      </c>
      <c r="C105">
        <f>RawDataInput!C109</f>
        <v>-15.7750395554914</v>
      </c>
    </row>
    <row r="106" spans="1:3" ht="10.5">
      <c r="A106" s="4" t="s">
        <v>292</v>
      </c>
      <c r="B106">
        <f>RawDataInput!B110</f>
        <v>0.803796520041294</v>
      </c>
      <c r="C106">
        <f>RawDataInput!C110</f>
        <v>0.0620253072595179</v>
      </c>
    </row>
    <row r="107" spans="1:3" ht="10.5">
      <c r="A107" s="4" t="str">
        <f>TEXT((ROW()-8)/3+1,"#0 x")</f>
        <v>34 x</v>
      </c>
      <c r="B107">
        <f>RawDataInput!B111</f>
        <v>48.5131381781614</v>
      </c>
      <c r="C107">
        <f>RawDataInput!C111</f>
        <v>47.9200673527503</v>
      </c>
    </row>
    <row r="108" spans="1:3" ht="10.5">
      <c r="A108" s="4" t="s">
        <v>128</v>
      </c>
      <c r="B108">
        <f>RawDataInput!B112</f>
        <v>13.8451281059001</v>
      </c>
      <c r="C108">
        <f>RawDataInput!C112</f>
        <v>-15.7749857112432</v>
      </c>
    </row>
    <row r="109" spans="1:3" ht="10.5">
      <c r="A109" s="4" t="s">
        <v>292</v>
      </c>
      <c r="B109">
        <f>RawDataInput!B113</f>
        <v>0.795462277436517</v>
      </c>
      <c r="C109">
        <f>RawDataInput!C113</f>
        <v>0.0471854643692051</v>
      </c>
    </row>
    <row r="110" spans="1:3" ht="10.5">
      <c r="A110" s="4" t="str">
        <f>TEXT((ROW()-8)/3+1,"#0 x")</f>
        <v>35 x</v>
      </c>
      <c r="B110">
        <f>RawDataInput!B114</f>
        <v>64.3753264361386</v>
      </c>
      <c r="C110">
        <f>RawDataInput!C114</f>
        <v>63.7949673443867</v>
      </c>
    </row>
    <row r="111" spans="1:3" ht="10.5">
      <c r="A111" s="4" t="s">
        <v>128</v>
      </c>
      <c r="B111">
        <f>RawDataInput!B115</f>
        <v>13.2103851206974</v>
      </c>
      <c r="C111">
        <f>RawDataInput!C115</f>
        <v>-15.7751316612864</v>
      </c>
    </row>
    <row r="112" spans="1:3" ht="10.5">
      <c r="A112" s="4" t="s">
        <v>292</v>
      </c>
      <c r="B112">
        <f>RawDataInput!B116</f>
        <v>0.763498213012746</v>
      </c>
      <c r="C112">
        <f>RawDataInput!C116</f>
        <v>0.0103755520272636</v>
      </c>
    </row>
    <row r="113" spans="1:3" ht="10.5">
      <c r="A113" s="4" t="str">
        <f>TEXT((ROW()-8)/3+1,"#0 x")</f>
        <v>36 x</v>
      </c>
      <c r="B113">
        <f>RawDataInput!B117</f>
        <v>0.295394021624952</v>
      </c>
      <c r="C113">
        <f>RawDataInput!C117</f>
        <v>0.295263000011154</v>
      </c>
    </row>
    <row r="114" spans="1:3" ht="10.5">
      <c r="A114" s="4" t="s">
        <v>128</v>
      </c>
      <c r="B114">
        <f>RawDataInput!B118</f>
        <v>-0.0138651557643137</v>
      </c>
      <c r="C114">
        <f>RawDataInput!C118</f>
        <v>5.41817950743259E-05</v>
      </c>
    </row>
    <row r="115" spans="1:3" ht="10.5">
      <c r="A115" s="4" t="s">
        <v>292</v>
      </c>
      <c r="B115">
        <f>RawDataInput!B119</f>
        <v>0.789496857748563</v>
      </c>
      <c r="C115">
        <f>RawDataInput!C119</f>
        <v>0.0669935253056366</v>
      </c>
    </row>
    <row r="116" spans="1:3" ht="10.5">
      <c r="A116" s="4" t="str">
        <f>TEXT((ROW()-8)/3+1,"#0 x")</f>
        <v>37 x</v>
      </c>
      <c r="B116">
        <f>RawDataInput!B120</f>
        <v>16.1606801491172</v>
      </c>
      <c r="C116">
        <f>RawDataInput!C120</f>
        <v>16.1729435201859</v>
      </c>
    </row>
    <row r="117" spans="1:3" ht="10.5">
      <c r="A117" s="4" t="s">
        <v>128</v>
      </c>
      <c r="B117">
        <f>RawDataInput!B121</f>
        <v>-0.648446703440936</v>
      </c>
      <c r="C117">
        <f>RawDataInput!C121</f>
        <v>3.17478095847429E-05</v>
      </c>
    </row>
    <row r="118" spans="1:3" ht="10.5">
      <c r="A118" s="4" t="s">
        <v>292</v>
      </c>
      <c r="B118">
        <f>RawDataInput!B122</f>
        <v>1.79353362964801</v>
      </c>
      <c r="C118">
        <f>RawDataInput!C122</f>
        <v>1.07798549562408</v>
      </c>
    </row>
    <row r="119" spans="1:3" ht="10.5">
      <c r="A119" s="4" t="str">
        <f>TEXT((ROW()-8)/3+1,"#0 x")</f>
        <v>38 x</v>
      </c>
      <c r="B119">
        <f>RawDataInput!B123</f>
        <v>32.0201023686353</v>
      </c>
      <c r="C119">
        <f>RawDataInput!C123</f>
        <v>32.0451704015238</v>
      </c>
    </row>
    <row r="120" spans="1:3" ht="10.5">
      <c r="A120" s="4" t="s">
        <v>128</v>
      </c>
      <c r="B120">
        <f>RawDataInput!B124</f>
        <v>-1.28344239330509</v>
      </c>
      <c r="C120">
        <f>RawDataInput!C124</f>
        <v>-0.000127623201231756</v>
      </c>
    </row>
    <row r="121" spans="1:3" ht="10.5">
      <c r="A121" s="4" t="s">
        <v>292</v>
      </c>
      <c r="B121">
        <f>RawDataInput!B125</f>
        <v>0.801171129464395</v>
      </c>
      <c r="C121">
        <f>RawDataInput!C125</f>
        <v>0.0622653784367931</v>
      </c>
    </row>
    <row r="122" spans="1:3" ht="10.5">
      <c r="A122" s="4" t="str">
        <f>TEXT((ROW()-8)/3+1,"#0 x")</f>
        <v>39 x</v>
      </c>
      <c r="B122">
        <f>RawDataInput!B126</f>
        <v>47.8823057900413</v>
      </c>
      <c r="C122">
        <f>RawDataInput!C126</f>
        <v>47.9201778619859</v>
      </c>
    </row>
    <row r="123" spans="1:3" ht="10.5">
      <c r="A123" s="4" t="s">
        <v>128</v>
      </c>
      <c r="B123">
        <f>RawDataInput!B127</f>
        <v>-1.91828076281754</v>
      </c>
      <c r="C123">
        <f>RawDataInput!C127</f>
        <v>3.1204808358565E-05</v>
      </c>
    </row>
    <row r="124" spans="1:3" ht="10.5">
      <c r="A124" s="4" t="s">
        <v>292</v>
      </c>
      <c r="B124">
        <f>RawDataInput!B128</f>
        <v>0.793855506457573</v>
      </c>
      <c r="C124">
        <f>RawDataInput!C128</f>
        <v>0.0493196182821177</v>
      </c>
    </row>
    <row r="125" spans="1:3" ht="10.5">
      <c r="A125" s="4" t="str">
        <f>TEXT((ROW()-8)/3+1,"#0 x")</f>
        <v>40 x</v>
      </c>
      <c r="B125">
        <f>RawDataInput!B129</f>
        <v>63.7445954628594</v>
      </c>
      <c r="C125">
        <f>RawDataInput!C129</f>
        <v>63.7949852897653</v>
      </c>
    </row>
    <row r="126" spans="1:3" ht="10.5">
      <c r="A126" s="4" t="s">
        <v>128</v>
      </c>
      <c r="B126">
        <f>RawDataInput!B130</f>
        <v>-2.5531300850326</v>
      </c>
      <c r="C126">
        <f>RawDataInput!C130</f>
        <v>-0.000114118466391109</v>
      </c>
    </row>
    <row r="127" spans="1:3" ht="10.5">
      <c r="A127" s="4" t="s">
        <v>292</v>
      </c>
      <c r="B127">
        <f>RawDataInput!B131</f>
        <v>0.763533168721195</v>
      </c>
      <c r="C127">
        <f>RawDataInput!C131</f>
        <v>0.0151690723521093</v>
      </c>
    </row>
    <row r="128" spans="1:3" ht="10.5">
      <c r="A128" s="4" t="str">
        <f>TEXT((ROW()-8)/3+1,"#0 x")</f>
        <v>41 x</v>
      </c>
      <c r="B128">
        <f>RawDataInput!B132</f>
        <v>-0.335319380191872</v>
      </c>
      <c r="C128">
        <f>RawDataInput!C132</f>
        <v>0.295172365451607</v>
      </c>
    </row>
    <row r="129" spans="1:3" ht="10.5">
      <c r="A129" s="4" t="s">
        <v>128</v>
      </c>
      <c r="B129">
        <f>RawDataInput!B133</f>
        <v>-15.7773378951062</v>
      </c>
      <c r="C129">
        <f>RawDataInput!C133</f>
        <v>15.7748881741279</v>
      </c>
    </row>
    <row r="130" spans="1:3" ht="10.5">
      <c r="A130" s="4" t="s">
        <v>292</v>
      </c>
      <c r="B130">
        <f>RawDataInput!B134</f>
        <v>0.792242820105612</v>
      </c>
      <c r="C130">
        <f>RawDataInput!C134</f>
        <v>0.0725821939554841</v>
      </c>
    </row>
    <row r="131" spans="1:3" ht="10.5">
      <c r="A131" s="4" t="str">
        <f>TEXT((ROW()-8)/3+1,"#0 x")</f>
        <v>42 x</v>
      </c>
      <c r="B131">
        <f>RawDataInput!B135</f>
        <v>15.5312933070273</v>
      </c>
      <c r="C131">
        <f>RawDataInput!C135</f>
        <v>16.174283089164</v>
      </c>
    </row>
    <row r="132" spans="1:3" ht="10.5">
      <c r="A132" s="4" t="s">
        <v>128</v>
      </c>
      <c r="B132">
        <f>RawDataInput!B136</f>
        <v>-16.4116923984018</v>
      </c>
      <c r="C132">
        <f>RawDataInput!C136</f>
        <v>15.7752284013622</v>
      </c>
    </row>
    <row r="133" spans="1:3" ht="10.5">
      <c r="A133" s="4" t="s">
        <v>292</v>
      </c>
      <c r="B133">
        <f>RawDataInput!B137</f>
        <v>2.28071613907492</v>
      </c>
      <c r="C133">
        <f>RawDataInput!C137</f>
        <v>1.55589560728616</v>
      </c>
    </row>
    <row r="134" spans="1:3" ht="10.5">
      <c r="A134" s="4" t="str">
        <f>TEXT((ROW()-8)/3+1,"#0 x")</f>
        <v>43 x</v>
      </c>
      <c r="B134">
        <f>RawDataInput!B138</f>
        <v>31.3892584973537</v>
      </c>
      <c r="C134">
        <f>RawDataInput!C138</f>
        <v>32.0453011187062</v>
      </c>
    </row>
    <row r="135" spans="1:3" ht="10.5">
      <c r="A135" s="4" t="s">
        <v>128</v>
      </c>
      <c r="B135">
        <f>RawDataInput!B139</f>
        <v>-17.0468146755707</v>
      </c>
      <c r="C135">
        <f>RawDataInput!C139</f>
        <v>15.7749200174531</v>
      </c>
    </row>
    <row r="136" spans="1:3" ht="10.5">
      <c r="A136" s="4" t="s">
        <v>292</v>
      </c>
      <c r="B136">
        <f>RawDataInput!B140</f>
        <v>0.798262718584983</v>
      </c>
      <c r="C136">
        <f>RawDataInput!C140</f>
        <v>0.0667651428687822</v>
      </c>
    </row>
    <row r="137" spans="1:3" ht="10.5">
      <c r="A137" s="4" t="str">
        <f>TEXT((ROW()-8)/3+1,"#0 x")</f>
        <v>44 x</v>
      </c>
      <c r="B137">
        <f>RawDataInput!B141</f>
        <v>47.2515592691061</v>
      </c>
      <c r="C137">
        <f>RawDataInput!C141</f>
        <v>47.9200864976293</v>
      </c>
    </row>
    <row r="138" spans="1:3" ht="10.5">
      <c r="A138" s="4" t="s">
        <v>128</v>
      </c>
      <c r="B138">
        <f>RawDataInput!B142</f>
        <v>-17.6815588609831</v>
      </c>
      <c r="C138">
        <f>RawDataInput!C142</f>
        <v>15.774881537173</v>
      </c>
    </row>
    <row r="139" spans="1:3" ht="10.5">
      <c r="A139" s="4" t="s">
        <v>292</v>
      </c>
      <c r="B139">
        <f>RawDataInput!B143</f>
        <v>0.785975035142963</v>
      </c>
      <c r="C139">
        <f>RawDataInput!C143</f>
        <v>0.0501078160087366</v>
      </c>
    </row>
    <row r="140" spans="1:3" ht="10.5">
      <c r="A140" s="4" t="str">
        <f>TEXT((ROW()-8)/3+1,"#0 x")</f>
        <v>45 x</v>
      </c>
      <c r="B140">
        <f>RawDataInput!B144</f>
        <v>63.113738610875</v>
      </c>
      <c r="C140">
        <f>RawDataInput!C144</f>
        <v>63.7949822866495</v>
      </c>
    </row>
    <row r="141" spans="1:3" ht="10.5">
      <c r="A141" s="4" t="s">
        <v>128</v>
      </c>
      <c r="B141">
        <f>RawDataInput!B145</f>
        <v>-18.3164067489614</v>
      </c>
      <c r="C141">
        <f>RawDataInput!C145</f>
        <v>15.775042589203</v>
      </c>
    </row>
    <row r="142" spans="1:3" ht="10.5">
      <c r="A142" s="4" t="s">
        <v>292</v>
      </c>
      <c r="B142">
        <f>RawDataInput!B146</f>
        <v>0.752146352696953</v>
      </c>
      <c r="C142">
        <f>RawDataInput!C146</f>
        <v>0.0130623337581677</v>
      </c>
    </row>
    <row r="143" spans="1:3" ht="10.5">
      <c r="A143" s="4" t="str">
        <f>TEXT((ROW()-8)/3+1,"#0 x")</f>
        <v>46 x</v>
      </c>
      <c r="B143">
        <f>RawDataInput!B147</f>
        <v>-0.96624198382515</v>
      </c>
      <c r="C143">
        <f>RawDataInput!C147</f>
        <v>0.29516075788646</v>
      </c>
    </row>
    <row r="144" spans="1:3" ht="10.5">
      <c r="A144" s="4" t="s">
        <v>128</v>
      </c>
      <c r="B144">
        <f>RawDataInput!B148</f>
        <v>-31.5406032895235</v>
      </c>
      <c r="C144">
        <f>RawDataInput!C148</f>
        <v>31.549892954068</v>
      </c>
    </row>
    <row r="145" spans="1:3" ht="10.5">
      <c r="A145" s="4" t="s">
        <v>292</v>
      </c>
      <c r="B145">
        <f>RawDataInput!B149</f>
        <v>0.789594623833693</v>
      </c>
      <c r="C145">
        <f>RawDataInput!C149</f>
        <v>0.0713905065319661</v>
      </c>
    </row>
    <row r="146" spans="1:3" ht="10.5">
      <c r="A146" s="4" t="str">
        <f>TEXT((ROW()-8)/3+1,"#0 x")</f>
        <v>47 x</v>
      </c>
      <c r="B146">
        <f>RawDataInput!B150</f>
        <v>14.8989648533228</v>
      </c>
      <c r="C146">
        <f>RawDataInput!C150</f>
        <v>16.1728905495534</v>
      </c>
    </row>
    <row r="147" spans="1:3" ht="10.5">
      <c r="A147" s="4" t="s">
        <v>128</v>
      </c>
      <c r="B147">
        <f>RawDataInput!B151</f>
        <v>-32.1752907578316</v>
      </c>
      <c r="C147">
        <f>RawDataInput!C151</f>
        <v>31.5499744396386</v>
      </c>
    </row>
    <row r="148" spans="1:3" ht="10.5">
      <c r="A148" s="4" t="s">
        <v>292</v>
      </c>
      <c r="B148">
        <f>RawDataInput!B152</f>
        <v>1.77234702506982</v>
      </c>
      <c r="C148">
        <f>RawDataInput!C152</f>
        <v>1.05731019632573</v>
      </c>
    </row>
    <row r="149" spans="1:3" ht="10.5">
      <c r="A149" s="4" t="str">
        <f>TEXT((ROW()-8)/3+1,"#0 x")</f>
        <v>48 x</v>
      </c>
      <c r="B149">
        <f>RawDataInput!B153</f>
        <v>30.758363539677</v>
      </c>
      <c r="C149">
        <f>RawDataInput!C153</f>
        <v>32.0452082681821</v>
      </c>
    </row>
    <row r="150" spans="1:3" ht="10.5">
      <c r="A150" s="4" t="s">
        <v>128</v>
      </c>
      <c r="B150">
        <f>RawDataInput!B154</f>
        <v>-32.8102869198706</v>
      </c>
      <c r="C150">
        <f>RawDataInput!C154</f>
        <v>31.5500234690068</v>
      </c>
    </row>
    <row r="151" spans="1:3" ht="10.5">
      <c r="A151" s="4" t="s">
        <v>292</v>
      </c>
      <c r="B151">
        <f>RawDataInput!B155</f>
        <v>0.779106718309487</v>
      </c>
      <c r="C151">
        <f>RawDataInput!C155</f>
        <v>0.0631007436939241</v>
      </c>
    </row>
    <row r="152" spans="1:3" ht="10.5">
      <c r="A152" s="4" t="str">
        <f>TEXT((ROW()-8)/3+1,"#0 x")</f>
        <v>49 x</v>
      </c>
      <c r="B152">
        <f>RawDataInput!B156</f>
        <v>46.6205554081408</v>
      </c>
      <c r="C152">
        <f>RawDataInput!C156</f>
        <v>47.9200661144193</v>
      </c>
    </row>
    <row r="153" spans="1:3" ht="10.5">
      <c r="A153" s="4" t="s">
        <v>128</v>
      </c>
      <c r="B153">
        <f>RawDataInput!B157</f>
        <v>-33.4451293411221</v>
      </c>
      <c r="C153">
        <f>RawDataInput!C157</f>
        <v>31.5499853159699</v>
      </c>
    </row>
    <row r="154" spans="1:3" ht="10.5">
      <c r="A154" s="4" t="s">
        <v>292</v>
      </c>
      <c r="B154">
        <f>RawDataInput!B158</f>
        <v>0.761898294129112</v>
      </c>
      <c r="C154">
        <f>RawDataInput!C158</f>
        <v>0.0415831159569139</v>
      </c>
    </row>
    <row r="155" spans="1:3" ht="10.5">
      <c r="A155" s="4" t="str">
        <f>TEXT((ROW()-8)/3+1,"#0 x")</f>
        <v>50 x</v>
      </c>
      <c r="B155">
        <f>RawDataInput!B159</f>
        <v>62.4827336306183</v>
      </c>
      <c r="C155">
        <f>RawDataInput!C159</f>
        <v>63.7950561283635</v>
      </c>
    </row>
    <row r="156" spans="1:3" ht="10.5">
      <c r="A156" s="4" t="s">
        <v>128</v>
      </c>
      <c r="B156">
        <f>RawDataInput!B160</f>
        <v>-34.0798776628126</v>
      </c>
      <c r="C156">
        <f>RawDataInput!C160</f>
        <v>31.5500471468968</v>
      </c>
    </row>
    <row r="157" spans="1:4" ht="10.5">
      <c r="A157" s="4" t="s">
        <v>292</v>
      </c>
      <c r="B157" s="3">
        <f>RawDataInput!B161</f>
        <v>0.726583736814997</v>
      </c>
      <c r="C157" s="3">
        <f>RawDataInput!C161</f>
        <v>0.00206500440033278</v>
      </c>
      <c r="D157" s="3"/>
    </row>
    <row r="158" spans="1:4" ht="10.5">
      <c r="A158" s="4" t="str">
        <f>TEXT((ROW()-8)/3+1,"#0 x")</f>
        <v>51 x</v>
      </c>
      <c r="B158">
        <f>RawDataInput!D171</f>
        <v>-5.758672458963697</v>
      </c>
      <c r="C158">
        <f>RawDataInput!E171</f>
        <v>-5.758717058351902</v>
      </c>
      <c r="D158" t="s">
        <v>316</v>
      </c>
    </row>
    <row r="159" spans="1:3" ht="10.5">
      <c r="A159" s="4" t="s">
        <v>128</v>
      </c>
      <c r="B159">
        <f>RawDataInput!D172</f>
        <v>37.122565111056126</v>
      </c>
      <c r="C159">
        <f>RawDataInput!E172</f>
        <v>-37.12268764300128</v>
      </c>
    </row>
    <row r="160" spans="1:3" ht="10.5">
      <c r="A160" s="4" t="s">
        <v>292</v>
      </c>
      <c r="B160">
        <f>RawDataInput!D173</f>
        <v>0.7018206634754468</v>
      </c>
      <c r="C160">
        <f>RawDataInput!E173</f>
        <v>-0.04403918933992687</v>
      </c>
    </row>
    <row r="161" spans="1:4" ht="10.5">
      <c r="A161" s="4" t="str">
        <f>TEXT((ROW()-8)/3+1,"#0 x")</f>
        <v>52 x</v>
      </c>
      <c r="B161">
        <f>RawDataInput!D174</f>
        <v>39.23727195991903</v>
      </c>
      <c r="C161">
        <f>RawDataInput!E174</f>
        <v>39.237259290018855</v>
      </c>
      <c r="D161" t="s">
        <v>317</v>
      </c>
    </row>
    <row r="162" spans="1:3" ht="10.5">
      <c r="A162" s="4" t="s">
        <v>128</v>
      </c>
      <c r="B162">
        <f>RawDataInput!D175</f>
        <v>36.472521741253175</v>
      </c>
      <c r="C162">
        <f>RawDataInput!E175</f>
        <v>-36.472640314988254</v>
      </c>
    </row>
    <row r="163" spans="1:3" ht="10.5">
      <c r="A163" s="4" t="s">
        <v>292</v>
      </c>
      <c r="B163">
        <f>RawDataInput!D176</f>
        <v>0.6795604323699467</v>
      </c>
      <c r="C163">
        <f>RawDataInput!E176</f>
        <v>-0.03637847492324928</v>
      </c>
    </row>
    <row r="164" spans="1:4" ht="10.5">
      <c r="A164" s="4" t="str">
        <f>TEXT((ROW()-8)/3+1,"#0 x")</f>
        <v>53 x</v>
      </c>
      <c r="B164">
        <f>RawDataInput!D162</f>
        <v>-0.7105872446329696</v>
      </c>
      <c r="C164">
        <f>RawDataInput!E162</f>
        <v>-0.7107075270278513</v>
      </c>
      <c r="D164" t="s">
        <v>318</v>
      </c>
    </row>
    <row r="165" spans="1:3" ht="10.5">
      <c r="A165" s="4" t="s">
        <v>128</v>
      </c>
      <c r="B165">
        <f>RawDataInput!D163</f>
        <v>-35.50953953168217</v>
      </c>
      <c r="C165">
        <f>RawDataInput!E163</f>
        <v>35.509422944007966</v>
      </c>
    </row>
    <row r="166" spans="1:4" ht="10.5">
      <c r="A166" s="4" t="s">
        <v>292</v>
      </c>
      <c r="B166" s="3">
        <f>RawDataInput!D164</f>
        <v>0.6874388661213816</v>
      </c>
      <c r="C166" s="3">
        <f>RawDataInput!E164</f>
        <v>-0.03852279121703276</v>
      </c>
      <c r="D166" s="3"/>
    </row>
    <row r="167" spans="1:4" ht="10.5">
      <c r="A167" s="4" t="str">
        <f>TEXT((ROW()-8)/3+1,"#0 x")</f>
        <v>54 x</v>
      </c>
      <c r="B167">
        <f>RawDataInput!D177</f>
        <v>-5.81866482121301</v>
      </c>
      <c r="C167">
        <f>RawDataInput!E177</f>
        <v>-5.818662843029751</v>
      </c>
      <c r="D167" t="s">
        <v>276</v>
      </c>
    </row>
    <row r="168" spans="1:3" ht="10.5">
      <c r="A168" s="4" t="s">
        <v>128</v>
      </c>
      <c r="B168">
        <f>RawDataInput!D178</f>
        <v>34.12321471120805</v>
      </c>
      <c r="C168">
        <f>RawDataInput!E178</f>
        <v>-34.123330510784555</v>
      </c>
    </row>
    <row r="169" spans="1:3" ht="10.5">
      <c r="A169" s="4" t="s">
        <v>292</v>
      </c>
      <c r="B169">
        <f>RawDataInput!D179</f>
        <v>0.7049995112830515</v>
      </c>
      <c r="C169">
        <f>RawDataInput!E179</f>
        <v>-0.048450737226116744</v>
      </c>
    </row>
    <row r="170" spans="1:3" ht="10.5">
      <c r="A170" s="4" t="str">
        <f>TEXT((ROW()-8)/3+1,"#0 x")</f>
        <v>55 x</v>
      </c>
      <c r="B170">
        <f>RawDataInput!D180</f>
        <v>-5.6986800967143845</v>
      </c>
      <c r="C170">
        <f>RawDataInput!E180</f>
        <v>-5.698771273674055</v>
      </c>
    </row>
    <row r="171" spans="1:3" ht="10.5">
      <c r="A171" s="4" t="s">
        <v>128</v>
      </c>
      <c r="B171">
        <f>RawDataInput!D181</f>
        <v>40.1219155109042</v>
      </c>
      <c r="C171">
        <f>RawDataInput!E181</f>
        <v>-40.122044775218</v>
      </c>
    </row>
    <row r="172" spans="1:3" ht="10.5">
      <c r="A172" s="4" t="s">
        <v>292</v>
      </c>
      <c r="B172">
        <f>RawDataInput!D182</f>
        <v>0.698641815667842</v>
      </c>
      <c r="C172">
        <f>RawDataInput!E182</f>
        <v>-0.039627641453737</v>
      </c>
    </row>
    <row r="173" spans="1:3" ht="10.5">
      <c r="A173" s="4" t="str">
        <f>TEXT((ROW()-8)/3+1,"#0 x")</f>
        <v>56 x</v>
      </c>
      <c r="B173">
        <f>RawDataInput!D183</f>
        <v>-3.29876678513308</v>
      </c>
      <c r="C173">
        <f>RawDataInput!E183</f>
        <v>-3.024778982109785</v>
      </c>
    </row>
    <row r="174" spans="1:3" ht="10.5">
      <c r="A174" s="4" t="s">
        <v>128</v>
      </c>
      <c r="B174">
        <f>RawDataInput!D184</f>
        <v>47.62541322090195</v>
      </c>
      <c r="C174">
        <f>RawDataInput!E184</f>
        <v>-47.6256151062447</v>
      </c>
    </row>
    <row r="175" spans="1:5" ht="10.5">
      <c r="A175" s="4" t="s">
        <v>292</v>
      </c>
      <c r="B175" s="3">
        <f>RawDataInput!D185</f>
        <v>0.6797510119082645</v>
      </c>
      <c r="C175" s="3">
        <f>RawDataInput!E185</f>
        <v>-0.0202695535313724</v>
      </c>
      <c r="D175" s="3"/>
      <c r="E175" s="3"/>
    </row>
    <row r="176" spans="1:4" ht="10.5">
      <c r="A176" s="4" t="str">
        <f>TEXT((ROW()-8)/3+1,"#0 x")</f>
        <v>57 x</v>
      </c>
      <c r="B176">
        <f>RawDataInput!D186</f>
        <v>39.18224332901789</v>
      </c>
      <c r="C176">
        <f>RawDataInput!E186</f>
        <v>39.18227897435935</v>
      </c>
      <c r="D176" t="s">
        <v>280</v>
      </c>
    </row>
    <row r="177" spans="1:3" ht="10.5">
      <c r="A177" s="4" t="s">
        <v>128</v>
      </c>
      <c r="B177">
        <f>RawDataInput!D187</f>
        <v>33.72303650667275</v>
      </c>
      <c r="C177">
        <f>RawDataInput!E187</f>
        <v>-33.72319633829445</v>
      </c>
    </row>
    <row r="178" spans="1:3" ht="10.5">
      <c r="A178" s="4" t="s">
        <v>292</v>
      </c>
      <c r="B178">
        <f>RawDataInput!D188</f>
        <v>0.6808502657531175</v>
      </c>
      <c r="C178">
        <f>RawDataInput!E188</f>
        <v>-0.03713381018514545</v>
      </c>
    </row>
    <row r="179" spans="1:3" ht="10.5">
      <c r="A179" s="4" t="str">
        <f>TEXT((ROW()-8)/3+1,"#0 x")</f>
        <v>58 x</v>
      </c>
      <c r="B179">
        <f>RawDataInput!D189</f>
        <v>39.29230059082015</v>
      </c>
      <c r="C179">
        <f>RawDataInput!E189</f>
        <v>39.29223960567835</v>
      </c>
    </row>
    <row r="180" spans="1:3" ht="10.5">
      <c r="A180" s="4" t="s">
        <v>128</v>
      </c>
      <c r="B180">
        <f>RawDataInput!D190</f>
        <v>39.222006975833594</v>
      </c>
      <c r="C180">
        <f>RawDataInput!E190</f>
        <v>-39.22208429168205</v>
      </c>
    </row>
    <row r="181" spans="1:3" ht="10.5">
      <c r="A181" s="4" t="s">
        <v>292</v>
      </c>
      <c r="B181">
        <f>RawDataInput!D191</f>
        <v>0.678270598986776</v>
      </c>
      <c r="C181">
        <f>RawDataInput!E191</f>
        <v>-0.035623139661353095</v>
      </c>
    </row>
    <row r="182" spans="1:3" ht="10.5">
      <c r="A182" s="4" t="str">
        <f>TEXT((ROW()-8)/3+1,"#0 x")</f>
        <v>59 x</v>
      </c>
      <c r="B182">
        <f>RawDataInput!D192</f>
        <v>35.69249140360225</v>
      </c>
      <c r="C182">
        <f>RawDataInput!E192</f>
        <v>35.47162219043865</v>
      </c>
    </row>
    <row r="183" spans="1:3" ht="10.5">
      <c r="A183" s="4" t="s">
        <v>128</v>
      </c>
      <c r="B183">
        <f>RawDataInput!D193</f>
        <v>46.7455003836823</v>
      </c>
      <c r="C183">
        <f>RawDataInput!E193</f>
        <v>-46.74563923992055</v>
      </c>
    </row>
    <row r="184" spans="1:5" ht="10.5">
      <c r="A184" s="4" t="s">
        <v>292</v>
      </c>
      <c r="B184" s="3">
        <f>RawDataInput!D194</f>
        <v>0.6765964615316955</v>
      </c>
      <c r="C184" s="3">
        <f>RawDataInput!E194</f>
        <v>-0.0298588042701039</v>
      </c>
      <c r="D184" s="3"/>
      <c r="E184" s="3"/>
    </row>
    <row r="185" spans="1:4" ht="10.5">
      <c r="A185" s="4" t="str">
        <f>TEXT((ROW()-8)/3+1,"#0 x")</f>
        <v>60 x</v>
      </c>
      <c r="B185">
        <f>RawDataInput!D195</f>
        <v>15.2970664499357</v>
      </c>
      <c r="D185" t="s">
        <v>284</v>
      </c>
    </row>
    <row r="186" spans="1:2" ht="10.5">
      <c r="A186" s="4" t="s">
        <v>128</v>
      </c>
      <c r="B186">
        <f>RawDataInput!D196</f>
        <v>39.7019616938967</v>
      </c>
    </row>
    <row r="187" spans="1:2" ht="10.5">
      <c r="A187" s="4" t="s">
        <v>292</v>
      </c>
      <c r="B187">
        <f>RawDataInput!D197</f>
        <v>0.685492205682721</v>
      </c>
    </row>
    <row r="188" spans="1:2" ht="10.5">
      <c r="A188" s="4" t="str">
        <f>TEXT((ROW()-8)/3+1,"#0 x")</f>
        <v>61 x</v>
      </c>
      <c r="B188">
        <f>RawDataInput!D198</f>
        <v>15.4469376497153</v>
      </c>
    </row>
    <row r="189" spans="1:2" ht="10.5">
      <c r="A189" s="4" t="s">
        <v>128</v>
      </c>
      <c r="B189">
        <f>RawDataInput!D199</f>
        <v>47.2004030458442</v>
      </c>
    </row>
    <row r="190" spans="1:5" ht="10.5">
      <c r="A190" s="4" t="s">
        <v>292</v>
      </c>
      <c r="B190" s="3">
        <f>RawDataInput!D200</f>
        <v>0.675381729212972</v>
      </c>
      <c r="C190" s="3"/>
      <c r="D190" s="3"/>
      <c r="E190" s="3"/>
    </row>
    <row r="191" spans="1:5" ht="10.5">
      <c r="A191" s="4" t="str">
        <f>TEXT((ROW()-8)/3+1,"#0 x")</f>
        <v>62 x</v>
      </c>
      <c r="B191">
        <v>-60</v>
      </c>
      <c r="C191">
        <v>-60</v>
      </c>
      <c r="D191" t="s">
        <v>319</v>
      </c>
      <c r="E191" t="s">
        <v>320</v>
      </c>
    </row>
    <row r="192" spans="1:3" ht="10.5">
      <c r="A192" s="4" t="s">
        <v>128</v>
      </c>
      <c r="B192">
        <v>30</v>
      </c>
      <c r="C192">
        <v>-30</v>
      </c>
    </row>
    <row r="193" spans="1:3" ht="10.5">
      <c r="A193" s="4" t="s">
        <v>292</v>
      </c>
      <c r="B193">
        <v>0</v>
      </c>
      <c r="C193">
        <v>0</v>
      </c>
    </row>
    <row r="194" spans="1:4" ht="10.5">
      <c r="A194" s="4" t="str">
        <f>TEXT((ROW()-8)/3+1,"#0 x")</f>
        <v>63 x</v>
      </c>
      <c r="B194">
        <v>60</v>
      </c>
      <c r="C194">
        <v>60</v>
      </c>
      <c r="D194" t="s">
        <v>321</v>
      </c>
    </row>
    <row r="195" spans="1:3" ht="10.5">
      <c r="A195" s="4" t="s">
        <v>128</v>
      </c>
      <c r="B195">
        <v>30</v>
      </c>
      <c r="C195">
        <v>-30</v>
      </c>
    </row>
    <row r="196" spans="1:3" ht="10.5">
      <c r="A196" s="4" t="s">
        <v>292</v>
      </c>
      <c r="B196">
        <v>0</v>
      </c>
      <c r="C196">
        <v>0</v>
      </c>
    </row>
    <row r="197" spans="1:4" ht="10.5">
      <c r="A197" s="4" t="str">
        <f>TEXT((ROW()-8)/3+1,"#0 x")</f>
        <v>64 x</v>
      </c>
      <c r="B197">
        <v>60</v>
      </c>
      <c r="C197">
        <v>60</v>
      </c>
      <c r="D197" t="s">
        <v>322</v>
      </c>
    </row>
    <row r="198" spans="1:3" ht="10.5">
      <c r="A198" s="4" t="s">
        <v>128</v>
      </c>
      <c r="B198">
        <v>-30</v>
      </c>
      <c r="C198">
        <v>30</v>
      </c>
    </row>
    <row r="199" spans="1:4" ht="10.5">
      <c r="A199" s="4" t="s">
        <v>292</v>
      </c>
      <c r="B199" s="3">
        <v>0</v>
      </c>
      <c r="C199" s="3">
        <v>0</v>
      </c>
      <c r="D199" s="3"/>
    </row>
    <row r="200" spans="1:4" ht="10.5">
      <c r="A200" s="4" t="str">
        <f>TEXT((ROW()-8)/3+1,"#0 x")</f>
        <v>65 x</v>
      </c>
      <c r="B200" s="4">
        <f>RawDataInput!B213</f>
        <v>7.92550686361975</v>
      </c>
      <c r="C200" s="4">
        <f>RawDataInput!C213</f>
        <v>6.06174141816701</v>
      </c>
      <c r="D200" t="s">
        <v>323</v>
      </c>
    </row>
    <row r="201" spans="1:3" ht="10.5">
      <c r="A201" s="4" t="s">
        <v>128</v>
      </c>
      <c r="B201" s="4">
        <f>RawDataInput!B214</f>
        <v>32.1500538837986</v>
      </c>
      <c r="C201" s="4">
        <f>RawDataInput!C214</f>
        <v>-34.0668618182131</v>
      </c>
    </row>
    <row r="202" spans="1:3" ht="10.5">
      <c r="A202" s="4" t="s">
        <v>292</v>
      </c>
      <c r="B202" s="4">
        <f>RawDataInput!B215</f>
        <v>1.76612384593895</v>
      </c>
      <c r="C202" s="4">
        <f>RawDataInput!C215</f>
        <v>1.03071438320685</v>
      </c>
    </row>
    <row r="203" spans="1:4" ht="10.5">
      <c r="A203" s="4" t="str">
        <f>TEXT((ROW()-8)/3+1,"#0 x")</f>
        <v>66 x</v>
      </c>
      <c r="B203" s="4">
        <f>RawDataInput!B216</f>
        <v>26.2537901769112</v>
      </c>
      <c r="C203" s="4">
        <f>RawDataInput!C216</f>
        <v>24.8442878819606</v>
      </c>
      <c r="D203" t="s">
        <v>324</v>
      </c>
    </row>
    <row r="204" spans="1:3" ht="10.5">
      <c r="A204" s="4" t="s">
        <v>128</v>
      </c>
      <c r="B204" s="4">
        <f>RawDataInput!B217</f>
        <v>33.6019413909727</v>
      </c>
      <c r="C204" s="4">
        <f>RawDataInput!C217</f>
        <v>-31.5160456587351</v>
      </c>
    </row>
    <row r="205" spans="1:3" ht="10.5">
      <c r="A205" s="4" t="s">
        <v>292</v>
      </c>
      <c r="B205" s="4">
        <f>RawDataInput!B218</f>
        <v>1.76809961335299</v>
      </c>
      <c r="C205" s="4">
        <f>RawDataInput!C218</f>
        <v>1.03051082664583</v>
      </c>
    </row>
    <row r="206" spans="1:4" ht="10.5">
      <c r="A206" s="4" t="str">
        <f>TEXT((ROW()-8)/3+1,"#0 x")</f>
        <v>67 x</v>
      </c>
      <c r="B206" s="4">
        <f>RawDataInput!B219</f>
        <v>8.63204448457499</v>
      </c>
      <c r="C206" s="4">
        <f>RawDataInput!C219</f>
        <v>8.55020295949023</v>
      </c>
      <c r="D206" t="s">
        <v>325</v>
      </c>
    </row>
    <row r="207" spans="1:3" ht="10.5">
      <c r="A207" s="4" t="s">
        <v>128</v>
      </c>
      <c r="B207" s="4">
        <f>RawDataInput!B220</f>
        <v>-0.294967827994007</v>
      </c>
      <c r="C207" s="4">
        <f>RawDataInput!C220</f>
        <v>-0.0594225033368094</v>
      </c>
    </row>
    <row r="208" spans="1:3" ht="10.5">
      <c r="A208" s="4" t="s">
        <v>292</v>
      </c>
      <c r="B208" s="4">
        <f>RawDataInput!B221</f>
        <v>1.75407323991335</v>
      </c>
      <c r="C208" s="4">
        <f>RawDataInput!C221</f>
        <v>1.05261842809057</v>
      </c>
    </row>
    <row r="209" spans="1:4" ht="10.5">
      <c r="A209" s="4" t="str">
        <f>TEXT((ROW()-8)/3+1,"#0 x")</f>
        <v>68 x</v>
      </c>
      <c r="B209" s="4">
        <f>RawDataInput!B222</f>
        <v>24.7702221208639</v>
      </c>
      <c r="C209" s="4">
        <f>RawDataInput!C222</f>
        <v>23.0228061611977</v>
      </c>
      <c r="D209" t="s">
        <v>326</v>
      </c>
    </row>
    <row r="210" spans="1:3" ht="10.5">
      <c r="A210" s="4" t="s">
        <v>128</v>
      </c>
      <c r="B210" s="4">
        <f>RawDataInput!B223</f>
        <v>-0.976372552235165</v>
      </c>
      <c r="C210" s="4">
        <f>RawDataInput!C223</f>
        <v>-0.0615480880144143</v>
      </c>
    </row>
    <row r="211" spans="1:3" ht="10.5">
      <c r="A211" s="4" t="s">
        <v>292</v>
      </c>
      <c r="B211" s="4">
        <f>RawDataInput!B224</f>
        <v>1.66968363693662</v>
      </c>
      <c r="C211" s="4">
        <f>RawDataInput!C224</f>
        <v>0.995146389576113</v>
      </c>
    </row>
    <row r="212" spans="1:4" ht="10.5">
      <c r="A212" s="4" t="str">
        <f>TEXT((ROW()-8)/3+1,"#0 x")</f>
        <v>69 x</v>
      </c>
      <c r="B212" s="4">
        <f>RawDataInput!B225</f>
        <v>5.19604378580436</v>
      </c>
      <c r="C212" s="4">
        <f>RawDataInput!C225</f>
        <v>6.52568467538026</v>
      </c>
      <c r="D212" t="s">
        <v>327</v>
      </c>
    </row>
    <row r="213" spans="1:3" ht="10.5">
      <c r="A213" s="4" t="s">
        <v>128</v>
      </c>
      <c r="B213" s="4">
        <f>RawDataInput!B226</f>
        <v>-32.6283278849203</v>
      </c>
      <c r="C213" s="4">
        <f>RawDataInput!C226</f>
        <v>34.5899004818309</v>
      </c>
    </row>
    <row r="214" spans="1:3" ht="10.5">
      <c r="A214" s="4" t="s">
        <v>292</v>
      </c>
      <c r="B214" s="4">
        <f>RawDataInput!B227</f>
        <v>1.76342106037609</v>
      </c>
      <c r="C214" s="4">
        <f>RawDataInput!C227</f>
        <v>1.02978898786532</v>
      </c>
    </row>
    <row r="215" spans="1:4" ht="10.5">
      <c r="A215" s="4" t="str">
        <f>TEXT((ROW()-8)/3+1,"#0 x")</f>
        <v>70 x</v>
      </c>
      <c r="B215" s="4">
        <f>RawDataInput!B228</f>
        <v>23.4903078556142</v>
      </c>
      <c r="C215" s="4">
        <f>RawDataInput!C228</f>
        <v>24.3434027626671</v>
      </c>
      <c r="D215" t="s">
        <v>328</v>
      </c>
    </row>
    <row r="216" spans="1:3" ht="10.5">
      <c r="A216" s="4" t="s">
        <v>128</v>
      </c>
      <c r="B216" s="4">
        <f>RawDataInput!B229</f>
        <v>-32.8841988970447</v>
      </c>
      <c r="C216" s="4">
        <f>RawDataInput!C229</f>
        <v>34.5131013405452</v>
      </c>
    </row>
    <row r="217" spans="1:3" ht="10.5">
      <c r="A217" s="4" t="s">
        <v>292</v>
      </c>
      <c r="B217" s="4">
        <f>RawDataInput!B230</f>
        <v>1.74251411185645</v>
      </c>
      <c r="C217" s="4">
        <f>RawDataInput!C230</f>
        <v>1.03990402499359</v>
      </c>
    </row>
    <row r="218" spans="1:4" ht="10.5">
      <c r="A218" s="4" t="str">
        <f>TEXT((ROW()-8)/3+1,"#0 x")</f>
        <v>71 x</v>
      </c>
      <c r="B218" s="4">
        <f>RawDataInput!B231</f>
        <v>6.13695670140037</v>
      </c>
      <c r="C218" s="4">
        <f>RawDataInput!C231</f>
        <v>7.67102584144579</v>
      </c>
      <c r="D218" t="s">
        <v>329</v>
      </c>
    </row>
    <row r="219" spans="1:3" ht="10.5">
      <c r="A219" s="4" t="s">
        <v>128</v>
      </c>
      <c r="B219" s="4">
        <f>RawDataInput!B232</f>
        <v>-36.3678180961291</v>
      </c>
      <c r="C219" s="4">
        <f>RawDataInput!C232</f>
        <v>36.1273816461874</v>
      </c>
    </row>
    <row r="220" spans="1:3" ht="10.5">
      <c r="A220" s="4" t="s">
        <v>292</v>
      </c>
      <c r="B220" s="4">
        <f>RawDataInput!B233</f>
        <v>2.89198664480403</v>
      </c>
      <c r="C220" s="4">
        <f>RawDataInput!C233</f>
        <v>2.15907947018536</v>
      </c>
    </row>
    <row r="221" spans="1:4" ht="10.5">
      <c r="A221" s="4" t="str">
        <f>TEXT((ROW()-8)/3+1,"#0 x")</f>
        <v>72 x</v>
      </c>
      <c r="B221" s="4">
        <f>RawDataInput!B234</f>
        <v>7.98811265367451</v>
      </c>
      <c r="C221" s="4">
        <f>RawDataInput!C234</f>
        <v>9.35198044356873</v>
      </c>
      <c r="D221" t="s">
        <v>330</v>
      </c>
    </row>
    <row r="222" spans="1:3" ht="10.5">
      <c r="A222" s="4" t="s">
        <v>128</v>
      </c>
      <c r="B222" s="4">
        <f>RawDataInput!B235</f>
        <v>-33.7313943516051</v>
      </c>
      <c r="C222" s="4">
        <f>RawDataInput!C235</f>
        <v>33.3477609479827</v>
      </c>
    </row>
    <row r="223" spans="1:3" ht="10.5">
      <c r="A223" s="4" t="s">
        <v>292</v>
      </c>
      <c r="B223" s="4">
        <f>RawDataInput!B236</f>
        <v>2.99227705265854</v>
      </c>
      <c r="C223" s="4">
        <f>RawDataInput!C236</f>
        <v>2.27274674937325</v>
      </c>
    </row>
    <row r="224" spans="1:4" ht="10.5">
      <c r="A224" s="4" t="str">
        <f>TEXT((ROW()-8)/3+1,"#0 x")</f>
        <v>73 x</v>
      </c>
      <c r="B224" s="4">
        <f>RawDataInput!B237</f>
        <v>18.4681183587422</v>
      </c>
      <c r="C224" s="4">
        <f>RawDataInput!C237</f>
        <v>19.8968286865846</v>
      </c>
      <c r="D224" t="s">
        <v>331</v>
      </c>
    </row>
    <row r="225" spans="1:3" ht="10.5">
      <c r="A225" s="4" t="s">
        <v>128</v>
      </c>
      <c r="B225" s="4">
        <f>RawDataInput!B238</f>
        <v>-34.0256545627202</v>
      </c>
      <c r="C225" s="4">
        <f>RawDataInput!C238</f>
        <v>33.3359254553513</v>
      </c>
    </row>
    <row r="226" spans="1:3" ht="10.5">
      <c r="A226" s="4" t="s">
        <v>292</v>
      </c>
      <c r="B226" s="4">
        <f>RawDataInput!B239</f>
        <v>2.9840645128761</v>
      </c>
      <c r="C226" s="4">
        <f>RawDataInput!C239</f>
        <v>2.25942843141715</v>
      </c>
    </row>
    <row r="227" spans="2:3" ht="10.5">
      <c r="B227" s="4"/>
      <c r="C227" s="4"/>
    </row>
    <row r="228" spans="2:3" ht="10.5">
      <c r="B228" s="4"/>
      <c r="C228" s="4"/>
    </row>
    <row r="229" spans="2:3" ht="10.5">
      <c r="B229" s="4"/>
      <c r="C229" s="4"/>
    </row>
    <row r="230" spans="2:3" ht="10.5">
      <c r="B230" s="4"/>
      <c r="C230" s="4"/>
    </row>
    <row r="231" spans="2:3" ht="10.5">
      <c r="B231" s="4"/>
      <c r="C231" s="4"/>
    </row>
    <row r="232" spans="2:3" ht="10.5">
      <c r="B232" s="4"/>
      <c r="C232" s="4"/>
    </row>
    <row r="233" spans="2:3" ht="10.5">
      <c r="B233" s="4"/>
      <c r="C233" s="4"/>
    </row>
    <row r="234" spans="2:3" ht="10.5">
      <c r="B234" s="4"/>
      <c r="C234" s="4"/>
    </row>
    <row r="235" spans="2:3" ht="10.5">
      <c r="B235" s="4"/>
      <c r="C235" s="4"/>
    </row>
    <row r="236" spans="2:3" ht="10.5">
      <c r="B236" s="4"/>
      <c r="C236" s="4"/>
    </row>
    <row r="237" spans="2:3" ht="10.5">
      <c r="B237" s="4"/>
      <c r="C237" s="4"/>
    </row>
    <row r="238" spans="2:3" ht="10.5">
      <c r="B238" s="4"/>
      <c r="C238" s="4"/>
    </row>
  </sheetData>
  <printOptions/>
  <pageMargins left="0.75" right="0.75" top="1" bottom="1" header="0.512" footer="0.512"/>
  <pageSetup orientation="portrait" paperSize="9" scale="80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workbookViewId="0" topLeftCell="A1">
      <selection activeCell="A3" sqref="A3"/>
    </sheetView>
  </sheetViews>
  <sheetFormatPr defaultColWidth="9.140625" defaultRowHeight="12"/>
  <cols>
    <col min="1" max="16384" width="12.00390625" style="0" customWidth="1"/>
  </cols>
  <sheetData>
    <row r="1" ht="10.5">
      <c r="A1" t="s">
        <v>67</v>
      </c>
    </row>
    <row r="3" spans="1:5" ht="10.5">
      <c r="A3" s="4" t="s">
        <v>313</v>
      </c>
      <c r="B3" t="s">
        <v>310</v>
      </c>
      <c r="C3" t="s">
        <v>332</v>
      </c>
      <c r="E3" t="s">
        <v>311</v>
      </c>
    </row>
    <row r="4" spans="1:8" ht="10.5">
      <c r="A4" s="4" t="s">
        <v>333</v>
      </c>
      <c r="B4" t="s">
        <v>312</v>
      </c>
      <c r="C4" t="s">
        <v>128</v>
      </c>
      <c r="D4" t="s">
        <v>292</v>
      </c>
      <c r="E4" t="s">
        <v>312</v>
      </c>
      <c r="F4" t="s">
        <v>128</v>
      </c>
      <c r="G4" t="s">
        <v>292</v>
      </c>
      <c r="H4" t="s">
        <v>334</v>
      </c>
    </row>
    <row r="5" spans="1:7" ht="10.5">
      <c r="A5" s="4">
        <v>1</v>
      </c>
      <c r="B5">
        <f ca="1" t="shared" si="0" ref="B5:B29">INDIRECT(ADDRESS(8+(ROW()-5)*3+(COLUMN()-2),2,3,TRUE,"RawData5x5Input"))</f>
        <v>-62.4821065090849</v>
      </c>
      <c r="C5">
        <f ca="1">-INDIRECT(ADDRESS(8+(ROW()-5)*3+(COLUMN()-2),2,3,TRUE,"RawData5x5Input"))</f>
        <v>-34.0759026182884</v>
      </c>
      <c r="D5">
        <f ca="1">INDIRECT(ADDRESS(8+(ROW()-5)*3+(COLUMN()-2),2,3,TRUE,"RawData5x5Input"))</f>
        <v>0.744785025035811</v>
      </c>
      <c r="E5">
        <f ca="1">INDIRECT(ADDRESS(8+(ROW()-5)*3+(COLUMN()-5),3,3,TRUE,"RawData5x5Input"))</f>
        <v>-63.7949930678326</v>
      </c>
      <c r="F5">
        <f ca="1" t="shared" si="1" ref="F5:G20">INDIRECT(ADDRESS(8+(ROW()-5)*3+(COLUMN()-5),3,3,TRUE,"RawData5x5Input"))</f>
        <v>-31.5501170481328</v>
      </c>
      <c r="G5">
        <f ca="1" t="shared" si="1"/>
        <v>-0.00546071342940743</v>
      </c>
    </row>
    <row r="6" spans="1:7" ht="10.5">
      <c r="A6" s="4">
        <f aca="true" t="shared" si="2" ref="A6:A29">A5+1</f>
        <v>2</v>
      </c>
      <c r="B6">
        <f ca="1" t="shared" si="0"/>
        <v>-46.6197089139676</v>
      </c>
      <c r="C6">
        <f aca="true" ca="1" t="shared" si="3" ref="C6:C29">-INDIRECT(ADDRESS(8+(ROW()-5)*3+(COLUMN()-2),2,3,TRUE,"RawData5x5Input"))</f>
        <v>-33.4410752396803</v>
      </c>
      <c r="D6">
        <f ca="1" t="shared" si="4" ref="D6:D20">INDIRECT(ADDRESS(8+(ROW()-5)*3+(COLUMN()-2),2,3,TRUE,"RawData5x5Input"))</f>
        <v>0.776622636918301</v>
      </c>
      <c r="E6">
        <f ca="1" t="shared" si="5" ref="E6:G29">INDIRECT(ADDRESS(8+(ROW()-5)*3+(COLUMN()-5),3,3,TRUE,"RawData5x5Input"))</f>
        <v>-47.9198925757607</v>
      </c>
      <c r="F6">
        <f ca="1" t="shared" si="1"/>
        <v>-31.5500542483215</v>
      </c>
      <c r="G6">
        <f ca="1" t="shared" si="1"/>
        <v>0.0324977226242781</v>
      </c>
    </row>
    <row r="7" spans="1:7" ht="10.5">
      <c r="A7" s="4">
        <f t="shared" si="2"/>
        <v>3</v>
      </c>
      <c r="B7">
        <f ca="1" t="shared" si="0"/>
        <v>-30.7573885027137</v>
      </c>
      <c r="C7">
        <f ca="1" t="shared" si="3"/>
        <v>-32.806344160846</v>
      </c>
      <c r="D7">
        <f ca="1" t="shared" si="4"/>
        <v>0.790715064760565</v>
      </c>
      <c r="E7">
        <f ca="1" t="shared" si="5"/>
        <v>-32.0448138760563</v>
      </c>
      <c r="F7">
        <f ca="1" t="shared" si="1"/>
        <v>-31.5500932525561</v>
      </c>
      <c r="G7">
        <f ca="1" t="shared" si="1"/>
        <v>0.0524704834200497</v>
      </c>
    </row>
    <row r="8" spans="1:7" ht="10.5">
      <c r="A8" s="4">
        <f t="shared" si="2"/>
        <v>4</v>
      </c>
      <c r="B8">
        <f ca="1" t="shared" si="0"/>
        <v>-14.8951186256227</v>
      </c>
      <c r="C8">
        <f ca="1" t="shared" si="3"/>
        <v>-32.1715114301821</v>
      </c>
      <c r="D8">
        <f ca="1" t="shared" si="4"/>
        <v>0.79560926990494</v>
      </c>
      <c r="E8">
        <f ca="1" t="shared" si="5"/>
        <v>-16.1697049300949</v>
      </c>
      <c r="F8">
        <f ca="1" t="shared" si="1"/>
        <v>-31.5501326775782</v>
      </c>
      <c r="G8">
        <f ca="1" t="shared" si="1"/>
        <v>0.0634778941419052</v>
      </c>
    </row>
    <row r="9" spans="1:7" ht="10.5">
      <c r="A9" s="4">
        <f t="shared" si="2"/>
        <v>5</v>
      </c>
      <c r="B9">
        <f ca="1" t="shared" si="0"/>
        <v>0.967211323612049</v>
      </c>
      <c r="C9">
        <f ca="1" t="shared" si="3"/>
        <v>-31.5366733684116</v>
      </c>
      <c r="D9">
        <f ca="1" t="shared" si="4"/>
        <v>0.790977346948885</v>
      </c>
      <c r="E9">
        <f ca="1" t="shared" si="5"/>
        <v>-0.294837168512937</v>
      </c>
      <c r="F9">
        <f ca="1" t="shared" si="1"/>
        <v>-31.5500753064453</v>
      </c>
      <c r="G9">
        <f ca="1" t="shared" si="1"/>
        <v>0.0694860387838796</v>
      </c>
    </row>
    <row r="10" spans="1:7" ht="10.5">
      <c r="A10" s="4">
        <f t="shared" si="2"/>
        <v>6</v>
      </c>
      <c r="B10">
        <f ca="1" t="shared" si="0"/>
        <v>-63.1126784652347</v>
      </c>
      <c r="C10">
        <f ca="1" t="shared" si="3"/>
        <v>-18.312437242667</v>
      </c>
      <c r="D10">
        <f ca="1" t="shared" si="4"/>
        <v>0.760081963265842</v>
      </c>
      <c r="E10">
        <f ca="1" t="shared" si="5"/>
        <v>-63.7948513340073</v>
      </c>
      <c r="F10">
        <f ca="1" t="shared" si="1"/>
        <v>-15.7750033007856</v>
      </c>
      <c r="G10">
        <f ca="1" t="shared" si="1"/>
        <v>0.0151945733520424</v>
      </c>
    </row>
    <row r="11" spans="1:7" ht="10.5">
      <c r="A11" s="4">
        <f t="shared" si="2"/>
        <v>7</v>
      </c>
      <c r="B11">
        <f ca="1" t="shared" si="0"/>
        <v>-47.2504928405288</v>
      </c>
      <c r="C11">
        <f ca="1" t="shared" si="3"/>
        <v>-17.6777158153007</v>
      </c>
      <c r="D11">
        <f ca="1" t="shared" si="4"/>
        <v>0.788849813292503</v>
      </c>
      <c r="E11">
        <f ca="1" t="shared" si="5"/>
        <v>-47.9198396347687</v>
      </c>
      <c r="F11">
        <f ca="1" t="shared" si="1"/>
        <v>-15.775041530059</v>
      </c>
      <c r="G11">
        <f ca="1" t="shared" si="1"/>
        <v>0.053196775413888</v>
      </c>
    </row>
    <row r="12" spans="1:7" ht="10.5">
      <c r="A12" s="4">
        <f t="shared" si="2"/>
        <v>8</v>
      </c>
      <c r="B12">
        <f ca="1" t="shared" si="0"/>
        <v>-31.3881805296297</v>
      </c>
      <c r="C12">
        <f ca="1" t="shared" si="3"/>
        <v>-17.0428838338188</v>
      </c>
      <c r="D12">
        <f ca="1" t="shared" si="4"/>
        <v>0.799620630346143</v>
      </c>
      <c r="E12">
        <f ca="1" t="shared" si="5"/>
        <v>-32.0448834423754</v>
      </c>
      <c r="F12">
        <f ca="1" t="shared" si="1"/>
        <v>-15.7750823981291</v>
      </c>
      <c r="G12">
        <f ca="1" t="shared" si="1"/>
        <v>0.0679252476004879</v>
      </c>
    </row>
    <row r="13" spans="1:7" ht="10.5">
      <c r="A13" s="4">
        <f t="shared" si="2"/>
        <v>9</v>
      </c>
      <c r="B13">
        <f ca="1" t="shared" si="0"/>
        <v>-15.525813996146</v>
      </c>
      <c r="C13">
        <f ca="1" t="shared" si="3"/>
        <v>-16.4082469288077</v>
      </c>
      <c r="D13">
        <f ca="1" t="shared" si="4"/>
        <v>0.80118786804086</v>
      </c>
      <c r="E13">
        <f ca="1" t="shared" si="5"/>
        <v>-16.1696933431667</v>
      </c>
      <c r="F13">
        <f ca="1" t="shared" si="1"/>
        <v>-15.7751214639691</v>
      </c>
      <c r="G13">
        <f ca="1" t="shared" si="1"/>
        <v>0.0722102028561138</v>
      </c>
    </row>
    <row r="14" spans="1:7" ht="10.5">
      <c r="A14" s="4">
        <f t="shared" si="2"/>
        <v>10</v>
      </c>
      <c r="B14">
        <f ca="1" t="shared" si="0"/>
        <v>0.336509456898696</v>
      </c>
      <c r="C14">
        <f ca="1" t="shared" si="3"/>
        <v>-15.7733090449332</v>
      </c>
      <c r="D14">
        <f ca="1" t="shared" si="4"/>
        <v>0.796438736960382</v>
      </c>
      <c r="E14">
        <f ca="1" t="shared" si="5"/>
        <v>-0.294736808611198</v>
      </c>
      <c r="F14">
        <f ca="1" t="shared" si="1"/>
        <v>-15.7750635517256</v>
      </c>
      <c r="G14">
        <f ca="1" t="shared" si="1"/>
        <v>0.0725907675243516</v>
      </c>
    </row>
    <row r="15" spans="1:7" ht="10.5">
      <c r="A15" s="4">
        <f t="shared" si="2"/>
        <v>11</v>
      </c>
      <c r="B15">
        <f ca="1" t="shared" si="0"/>
        <v>-63.743688477455</v>
      </c>
      <c r="C15">
        <f ca="1" t="shared" si="3"/>
        <v>-2.54906025173856</v>
      </c>
      <c r="D15">
        <f ca="1" t="shared" si="4"/>
        <v>0.761531599496557</v>
      </c>
      <c r="E15">
        <f ca="1" t="shared" si="5"/>
        <v>-63.794945702072</v>
      </c>
      <c r="F15">
        <f ca="1" t="shared" si="1"/>
        <v>1.38550066534508E-06</v>
      </c>
      <c r="G15">
        <f ca="1" t="shared" si="1"/>
        <v>0.0225225464352091</v>
      </c>
    </row>
    <row r="16" spans="1:7" ht="10.5">
      <c r="A16" s="4">
        <f t="shared" si="2"/>
        <v>12</v>
      </c>
      <c r="B16">
        <f ca="1" t="shared" si="0"/>
        <v>-47.8812114926468</v>
      </c>
      <c r="C16">
        <f ca="1" t="shared" si="3"/>
        <v>-1.91432550768618</v>
      </c>
      <c r="D16">
        <f ca="1" t="shared" si="4"/>
        <v>0.789603310157031</v>
      </c>
      <c r="E16">
        <f ca="1" t="shared" si="5"/>
        <v>-47.9198322084721</v>
      </c>
      <c r="F16">
        <f ca="1" t="shared" si="1"/>
        <v>-0.000134494448910763</v>
      </c>
      <c r="G16">
        <f ca="1" t="shared" si="1"/>
        <v>0.0572241091127144</v>
      </c>
    </row>
    <row r="17" spans="1:7" ht="10.5">
      <c r="A17" s="4">
        <f t="shared" si="2"/>
        <v>13</v>
      </c>
      <c r="B17">
        <f ca="1" t="shared" si="0"/>
        <v>-32.0189034309564</v>
      </c>
      <c r="C17">
        <f ca="1" t="shared" si="3"/>
        <v>-1.279489023357</v>
      </c>
      <c r="D17">
        <f ca="1" t="shared" si="4"/>
        <v>0.797292062834617</v>
      </c>
      <c r="E17">
        <f ca="1" t="shared" si="5"/>
        <v>-32.0447957477032</v>
      </c>
      <c r="F17">
        <f ca="1" t="shared" si="1"/>
        <v>-7.32917997533022E-05</v>
      </c>
      <c r="G17">
        <f ca="1" t="shared" si="1"/>
        <v>0.0681250373471409</v>
      </c>
    </row>
    <row r="18" spans="1:7" ht="10.5">
      <c r="A18" s="4">
        <f t="shared" si="2"/>
        <v>14</v>
      </c>
      <c r="B18">
        <f ca="1" t="shared" si="0"/>
        <v>-16.1567443802351</v>
      </c>
      <c r="C18">
        <f ca="1" t="shared" si="3"/>
        <v>-0.644655130523984</v>
      </c>
      <c r="D18">
        <f ca="1" t="shared" si="4"/>
        <v>0.798537195687727</v>
      </c>
      <c r="E18">
        <f ca="1" t="shared" si="5"/>
        <v>-16.1697074555439</v>
      </c>
      <c r="F18">
        <f ca="1" t="shared" si="1"/>
        <v>-0.000112121875913168</v>
      </c>
      <c r="G18">
        <f ca="1" t="shared" si="1"/>
        <v>0.0717669478260962</v>
      </c>
    </row>
    <row r="19" spans="1:7" ht="10.5">
      <c r="A19" s="4">
        <f t="shared" si="2"/>
        <v>15</v>
      </c>
      <c r="B19">
        <f ca="1" t="shared" si="0"/>
        <v>-0.294355501839662</v>
      </c>
      <c r="C19">
        <f ca="1" t="shared" si="3"/>
        <v>-0.00990710482669582</v>
      </c>
      <c r="D19">
        <f ca="1" t="shared" si="4"/>
        <v>0.780898457263153</v>
      </c>
      <c r="E19">
        <f ca="1" t="shared" si="5"/>
        <v>-0.294887009574235</v>
      </c>
      <c r="F19">
        <f ca="1" t="shared" si="1"/>
        <v>-5.55601282725964E-05</v>
      </c>
      <c r="G19">
        <f ca="1" t="shared" si="1"/>
        <v>0.0576461715763733</v>
      </c>
    </row>
    <row r="20" spans="1:7" ht="10.5">
      <c r="A20" s="4">
        <f t="shared" si="2"/>
        <v>16</v>
      </c>
      <c r="B20">
        <f ca="1" t="shared" si="0"/>
        <v>-64.3744183512604</v>
      </c>
      <c r="C20">
        <f ca="1" t="shared" si="3"/>
        <v>13.2142113530553</v>
      </c>
      <c r="D20">
        <f ca="1" t="shared" si="4"/>
        <v>0.755014411534321</v>
      </c>
      <c r="E20">
        <f ca="1" t="shared" si="5"/>
        <v>-63.7948769538242</v>
      </c>
      <c r="F20">
        <f ca="1" t="shared" si="1"/>
        <v>15.7748136155215</v>
      </c>
      <c r="G20">
        <f ca="1" t="shared" si="1"/>
        <v>0.0159001925943784</v>
      </c>
    </row>
    <row r="21" spans="1:7" ht="10.5">
      <c r="A21" s="4">
        <f t="shared" si="2"/>
        <v>17</v>
      </c>
      <c r="B21">
        <f ca="1" t="shared" si="0"/>
        <v>-48.5120484929924</v>
      </c>
      <c r="C21">
        <f ca="1" t="shared" si="3"/>
        <v>13.8491429575652</v>
      </c>
      <c r="D21">
        <f ca="1" t="shared" si="6" ref="D21:D29">INDIRECT(ADDRESS(8+(ROW()-5)*3+(COLUMN()-2),2,3,TRUE,"RawData5x5Input"))</f>
        <v>0.785008454970028</v>
      </c>
      <c r="E21">
        <f ca="1" t="shared" si="5"/>
        <v>-47.9197496104793</v>
      </c>
      <c r="F21">
        <f ca="1" t="shared" si="5"/>
        <v>15.7748836882425</v>
      </c>
      <c r="G21">
        <f ca="1" t="shared" si="5"/>
        <v>0.0528496352461785</v>
      </c>
    </row>
    <row r="22" spans="1:7" ht="10.5">
      <c r="A22" s="4">
        <f t="shared" si="2"/>
        <v>18</v>
      </c>
      <c r="B22">
        <f ca="1" t="shared" si="0"/>
        <v>-32.6497164196466</v>
      </c>
      <c r="C22">
        <f ca="1" t="shared" si="3"/>
        <v>14.483879209736</v>
      </c>
      <c r="D22">
        <f ca="1" t="shared" si="6"/>
        <v>0.798052871123505</v>
      </c>
      <c r="E22">
        <f ca="1" t="shared" si="5"/>
        <v>-32.0448090299216</v>
      </c>
      <c r="F22">
        <f ca="1" t="shared" si="5"/>
        <v>15.7750497770424</v>
      </c>
      <c r="G22">
        <f ca="1" t="shared" si="5"/>
        <v>0.0684460410924238</v>
      </c>
    </row>
    <row r="23" spans="1:7" ht="10.5">
      <c r="A23" s="4">
        <f t="shared" si="2"/>
        <v>19</v>
      </c>
      <c r="B23">
        <f ca="1" t="shared" si="0"/>
        <v>-16.7874599228068</v>
      </c>
      <c r="C23">
        <f ca="1" t="shared" si="3"/>
        <v>15.1187175140621</v>
      </c>
      <c r="D23">
        <f ca="1" t="shared" si="6"/>
        <v>0.79846277503372</v>
      </c>
      <c r="E23">
        <f ca="1" t="shared" si="5"/>
        <v>-16.1697168085156</v>
      </c>
      <c r="F23">
        <f ca="1" t="shared" si="5"/>
        <v>15.7749166627721</v>
      </c>
      <c r="G23">
        <f ca="1" t="shared" si="5"/>
        <v>0.073101570408907</v>
      </c>
    </row>
    <row r="24" spans="1:7" ht="10.5">
      <c r="A24" s="4">
        <f t="shared" si="2"/>
        <v>20</v>
      </c>
      <c r="B24">
        <f ca="1" t="shared" si="0"/>
        <v>-0.925132116353072</v>
      </c>
      <c r="C24">
        <f ca="1" t="shared" si="3"/>
        <v>15.7534594692488</v>
      </c>
      <c r="D24">
        <f ca="1" t="shared" si="6"/>
        <v>0.794982079622232</v>
      </c>
      <c r="E24">
        <f ca="1" t="shared" si="5"/>
        <v>-0.294750374037517</v>
      </c>
      <c r="F24">
        <f ca="1" t="shared" si="5"/>
        <v>15.7748817261861</v>
      </c>
      <c r="G24">
        <f ca="1" t="shared" si="5"/>
        <v>0.073385195374351</v>
      </c>
    </row>
    <row r="25" spans="1:7" ht="10.5">
      <c r="A25" s="4">
        <f t="shared" si="2"/>
        <v>21</v>
      </c>
      <c r="B25">
        <f ca="1" t="shared" si="0"/>
        <v>-65.0053886739974</v>
      </c>
      <c r="C25">
        <f ca="1" t="shared" si="3"/>
        <v>28.9776807371105</v>
      </c>
      <c r="D25">
        <f ca="1" t="shared" si="6"/>
        <v>0.736982252254788</v>
      </c>
      <c r="E25">
        <f ca="1" t="shared" si="5"/>
        <v>-63.7949510287994</v>
      </c>
      <c r="F25">
        <f ca="1" t="shared" si="5"/>
        <v>31.5499163736371</v>
      </c>
      <c r="G25">
        <f ca="1" t="shared" si="5"/>
        <v>-0.00480267642318605</v>
      </c>
    </row>
    <row r="26" spans="1:7" ht="10.5">
      <c r="A26" s="4">
        <f t="shared" si="2"/>
        <v>22</v>
      </c>
      <c r="B26">
        <f ca="1" t="shared" si="0"/>
        <v>-49.1429160519877</v>
      </c>
      <c r="C26">
        <f ca="1" t="shared" si="3"/>
        <v>29.6125149437331</v>
      </c>
      <c r="D26">
        <f ca="1" t="shared" si="6"/>
        <v>0.768959432224328</v>
      </c>
      <c r="E26">
        <f ca="1" t="shared" si="5"/>
        <v>-47.9199098303673</v>
      </c>
      <c r="F26">
        <f ca="1" t="shared" si="5"/>
        <v>31.5499854812158</v>
      </c>
      <c r="G26">
        <f ca="1" t="shared" si="5"/>
        <v>0.0335489582594551</v>
      </c>
    </row>
    <row r="27" spans="1:7" ht="10.5">
      <c r="A27" s="4">
        <f t="shared" si="2"/>
        <v>23</v>
      </c>
      <c r="B27">
        <f ca="1" t="shared" si="0"/>
        <v>-33.2805681346087</v>
      </c>
      <c r="C27">
        <f ca="1" t="shared" si="3"/>
        <v>30.2473500746985</v>
      </c>
      <c r="D27">
        <f ca="1" t="shared" si="6"/>
        <v>0.786795318653926</v>
      </c>
      <c r="E27">
        <f ca="1" t="shared" si="5"/>
        <v>-32.0448604469022</v>
      </c>
      <c r="F27">
        <f ca="1" t="shared" si="5"/>
        <v>31.55005320383</v>
      </c>
      <c r="G27">
        <f ca="1" t="shared" si="5"/>
        <v>0.0546705532552888</v>
      </c>
    </row>
    <row r="28" spans="1:7" ht="10.5">
      <c r="A28" s="4">
        <f t="shared" si="2"/>
        <v>24</v>
      </c>
      <c r="B28">
        <f ca="1" t="shared" si="0"/>
        <v>-17.4181906618847</v>
      </c>
      <c r="C28">
        <f ca="1" t="shared" si="3"/>
        <v>30.882090149167</v>
      </c>
      <c r="D28">
        <f ca="1" t="shared" si="6"/>
        <v>0.793224951808823</v>
      </c>
      <c r="E28">
        <f ca="1" t="shared" si="5"/>
        <v>-16.1698491342653</v>
      </c>
      <c r="F28">
        <f ca="1" t="shared" si="5"/>
        <v>31.5499196490034</v>
      </c>
      <c r="G28">
        <f ca="1" t="shared" si="5"/>
        <v>0.0661354172317423</v>
      </c>
    </row>
    <row r="29" spans="1:7" ht="10.5">
      <c r="A29" s="4">
        <f t="shared" si="2"/>
        <v>25</v>
      </c>
      <c r="B29">
        <f ca="1" t="shared" si="0"/>
        <v>-1.55596173362266</v>
      </c>
      <c r="C29">
        <f ca="1" t="shared" si="3"/>
        <v>31.5169280634428</v>
      </c>
      <c r="D29">
        <f ca="1" t="shared" si="6"/>
        <v>0.792189845789895</v>
      </c>
      <c r="E29">
        <f ca="1" t="shared" si="5"/>
        <v>-0.294867883604187</v>
      </c>
      <c r="F29">
        <f ca="1" t="shared" si="5"/>
        <v>31.5498851064335</v>
      </c>
      <c r="G29">
        <f ca="1" t="shared" si="5"/>
        <v>0.0700838076343606</v>
      </c>
    </row>
    <row r="30" spans="1:7" ht="10.5">
      <c r="A30" s="4" t="s">
        <v>335</v>
      </c>
      <c r="B30" t="s">
        <v>312</v>
      </c>
      <c r="C30" t="s">
        <v>128</v>
      </c>
      <c r="D30" t="s">
        <v>292</v>
      </c>
      <c r="E30" t="s">
        <v>312</v>
      </c>
      <c r="F30" t="s">
        <v>128</v>
      </c>
      <c r="G30" t="s">
        <v>292</v>
      </c>
    </row>
    <row r="31" spans="1:7" ht="10.5">
      <c r="A31" s="4">
        <v>1</v>
      </c>
      <c r="B31">
        <f ca="1" t="shared" si="7" ref="B31:B55">INDIRECT(ADDRESS(83+(ROW()-31)*3+(COLUMN()-2),2,3,TRUE,"RawData5x5Input"))</f>
        <v>1.55693702006369</v>
      </c>
      <c r="C31">
        <f ca="1">-INDIRECT(ADDRESS(83+(ROW()-31)*3+(COLUMN()-2),2,3,TRUE,"RawData5x5Input"))</f>
        <v>-31.5129988269387</v>
      </c>
      <c r="D31">
        <f ca="1">INDIRECT(ADDRESS(83+(ROW()-31)*3+(COLUMN()-2),2,3,TRUE,"RawData5x5Input"))</f>
        <v>0.790395010150665</v>
      </c>
      <c r="E31">
        <f ca="1">INDIRECT(ADDRESS(83+(ROW()-31)*3+(COLUMN()-5),3,3,TRUE,"RawData5x5Input"))</f>
        <v>0.295286288095772</v>
      </c>
      <c r="F31">
        <f ca="1" t="shared" si="8" ref="F31:G46">INDIRECT(ADDRESS(83+(ROW()-31)*3+(COLUMN()-5),3,3,TRUE,"RawData5x5Input"))</f>
        <v>-31.5500667819049</v>
      </c>
      <c r="G31">
        <f ca="1" t="shared" si="8"/>
        <v>0.0689443755058901</v>
      </c>
    </row>
    <row r="32" spans="1:10" ht="10.5">
      <c r="A32" s="4">
        <f aca="true" t="shared" si="9" ref="A32:A55">A31+1</f>
        <v>2</v>
      </c>
      <c r="B32">
        <f ca="1" t="shared" si="7"/>
        <v>17.4222167563096</v>
      </c>
      <c r="C32">
        <f aca="true" ca="1" t="shared" si="10" ref="C32:C55">-INDIRECT(ADDRESS(83+(ROW()-31)*3+(COLUMN()-2),2,3,TRUE,"RawData5x5Input"))</f>
        <v>-30.87841862573</v>
      </c>
      <c r="D32" s="13">
        <f>AVERAGE(D31,D33)</f>
        <v>0.7928866038522651</v>
      </c>
      <c r="E32">
        <f ca="1" t="shared" si="11" ref="E32:G55">INDIRECT(ADDRESS(83+(ROW()-31)*3+(COLUMN()-5),3,3,TRUE,"RawData5x5Input"))</f>
        <v>16.1730994704825</v>
      </c>
      <c r="F32">
        <f ca="1" t="shared" si="8"/>
        <v>-31.5498904924328</v>
      </c>
      <c r="G32" s="13">
        <f>AVERAGE(G31,G33)</f>
        <v>0.05949812988961675</v>
      </c>
      <c r="I32" s="13"/>
      <c r="J32" t="s">
        <v>336</v>
      </c>
    </row>
    <row r="33" spans="1:7" ht="10.5">
      <c r="A33" s="4">
        <f t="shared" si="9"/>
        <v>3</v>
      </c>
      <c r="B33">
        <f ca="1" t="shared" si="7"/>
        <v>33.2815599549184</v>
      </c>
      <c r="C33">
        <f ca="1" t="shared" si="10"/>
        <v>-30.2434289996399</v>
      </c>
      <c r="D33">
        <f ca="1">INDIRECT(ADDRESS(83+(ROW()-31)*3+(COLUMN()-2),2,3,TRUE,"RawData5x5Input"))</f>
        <v>0.795378197553865</v>
      </c>
      <c r="E33">
        <f ca="1" t="shared" si="11"/>
        <v>32.0450968911031</v>
      </c>
      <c r="F33">
        <f ca="1" t="shared" si="8"/>
        <v>-31.5499538272235</v>
      </c>
      <c r="G33">
        <f ca="1" t="shared" si="8"/>
        <v>0.0500518842733434</v>
      </c>
    </row>
    <row r="34" spans="1:7" ht="10.5">
      <c r="A34" s="4">
        <f t="shared" si="9"/>
        <v>4</v>
      </c>
      <c r="B34">
        <f ca="1" t="shared" si="7"/>
        <v>49.1438232123196</v>
      </c>
      <c r="C34">
        <f ca="1" t="shared" si="10"/>
        <v>-29.6084898052698</v>
      </c>
      <c r="D34">
        <f ca="1">INDIRECT(ADDRESS(83+(ROW()-31)*3+(COLUMN()-2),2,3,TRUE,"RawData5x5Input"))</f>
        <v>0.781523166107317</v>
      </c>
      <c r="E34">
        <f ca="1" t="shared" si="11"/>
        <v>47.9200214784094</v>
      </c>
      <c r="F34">
        <f ca="1" t="shared" si="8"/>
        <v>-31.5499978358362</v>
      </c>
      <c r="G34">
        <f ca="1" t="shared" si="8"/>
        <v>0.0324509873644867</v>
      </c>
    </row>
    <row r="35" spans="1:7" ht="10.5">
      <c r="A35" s="4">
        <f t="shared" si="9"/>
        <v>5</v>
      </c>
      <c r="B35">
        <f ca="1" t="shared" si="7"/>
        <v>65.0061022760095</v>
      </c>
      <c r="C35">
        <f ca="1" t="shared" si="10"/>
        <v>-28.9736430391145</v>
      </c>
      <c r="D35">
        <f ca="1">INDIRECT(ADDRESS(83+(ROW()-31)*3+(COLUMN()-2),2,3,TRUE,"RawData5x5Input"))</f>
        <v>0.747567796328577</v>
      </c>
      <c r="E35">
        <f ca="1" t="shared" si="11"/>
        <v>63.7950181058844</v>
      </c>
      <c r="F35">
        <f ca="1" t="shared" si="8"/>
        <v>-31.5500427302175</v>
      </c>
      <c r="G35">
        <f ca="1" t="shared" si="8"/>
        <v>-0.00514713427233598</v>
      </c>
    </row>
    <row r="36" spans="1:7" ht="10.5">
      <c r="A36" s="4">
        <f t="shared" si="9"/>
        <v>6</v>
      </c>
      <c r="B36">
        <f ca="1" t="shared" si="7"/>
        <v>0.926233850241828</v>
      </c>
      <c r="C36">
        <f ca="1" t="shared" si="10"/>
        <v>-15.7495347322022</v>
      </c>
      <c r="D36">
        <f ca="1">INDIRECT(ADDRESS(83+(ROW()-31)*3+(COLUMN()-2),2,3,TRUE,"RawData5x5Input"))</f>
        <v>0.796521495318253</v>
      </c>
      <c r="E36">
        <f ca="1" t="shared" si="11"/>
        <v>0.295188524424768</v>
      </c>
      <c r="F36">
        <f ca="1" t="shared" si="8"/>
        <v>-15.7750572562853</v>
      </c>
      <c r="G36">
        <f ca="1" t="shared" si="8"/>
        <v>0.0727123492194927</v>
      </c>
    </row>
    <row r="37" spans="1:7" ht="10.5">
      <c r="A37" s="4">
        <f t="shared" si="9"/>
        <v>7</v>
      </c>
      <c r="B37">
        <f ca="1" t="shared" si="7"/>
        <v>16.7928474780757</v>
      </c>
      <c r="C37">
        <f ca="1" t="shared" si="10"/>
        <v>-15.1151831962125</v>
      </c>
      <c r="D37" s="13">
        <f>AVERAGE(D36,D38)</f>
        <v>0.8001590076797735</v>
      </c>
      <c r="E37">
        <f ca="1" t="shared" si="11"/>
        <v>16.1744255417821</v>
      </c>
      <c r="F37">
        <f ca="1" t="shared" si="8"/>
        <v>-15.7748212222047</v>
      </c>
      <c r="G37" s="13">
        <f>AVERAGE(G36,G38)</f>
        <v>0.0673688282395053</v>
      </c>
    </row>
    <row r="38" spans="1:7" ht="10.5">
      <c r="A38" s="4">
        <f t="shared" si="9"/>
        <v>8</v>
      </c>
      <c r="B38">
        <f ca="1" t="shared" si="7"/>
        <v>32.6508432604881</v>
      </c>
      <c r="C38">
        <f ca="1" t="shared" si="10"/>
        <v>-14.4798662223849</v>
      </c>
      <c r="D38">
        <f ca="1">INDIRECT(ADDRESS(83+(ROW()-31)*3+(COLUMN()-2),2,3,TRUE,"RawData5x5Input"))</f>
        <v>0.803796520041294</v>
      </c>
      <c r="E38">
        <f ca="1" t="shared" si="11"/>
        <v>32.0453501162558</v>
      </c>
      <c r="F38">
        <f ca="1" t="shared" si="8"/>
        <v>-15.7750395554914</v>
      </c>
      <c r="G38">
        <f ca="1" t="shared" si="8"/>
        <v>0.0620253072595179</v>
      </c>
    </row>
    <row r="39" spans="1:7" ht="10.5">
      <c r="A39" s="4">
        <f t="shared" si="9"/>
        <v>9</v>
      </c>
      <c r="B39">
        <f ca="1" t="shared" si="7"/>
        <v>48.5131381781614</v>
      </c>
      <c r="C39">
        <f ca="1" t="shared" si="10"/>
        <v>-13.8451281059001</v>
      </c>
      <c r="D39">
        <f ca="1">INDIRECT(ADDRESS(83+(ROW()-31)*3+(COLUMN()-2),2,3,TRUE,"RawData5x5Input"))</f>
        <v>0.795462277436517</v>
      </c>
      <c r="E39">
        <f ca="1" t="shared" si="11"/>
        <v>47.9200673527503</v>
      </c>
      <c r="F39">
        <f ca="1" t="shared" si="8"/>
        <v>-15.7749857112432</v>
      </c>
      <c r="G39">
        <f ca="1" t="shared" si="8"/>
        <v>0.0471854643692051</v>
      </c>
    </row>
    <row r="40" spans="1:7" ht="10.5">
      <c r="A40" s="4">
        <f t="shared" si="9"/>
        <v>10</v>
      </c>
      <c r="B40">
        <f ca="1" t="shared" si="7"/>
        <v>64.3753264361386</v>
      </c>
      <c r="C40">
        <f ca="1" t="shared" si="10"/>
        <v>-13.2103851206974</v>
      </c>
      <c r="D40">
        <f ca="1">INDIRECT(ADDRESS(83+(ROW()-31)*3+(COLUMN()-2),2,3,TRUE,"RawData5x5Input"))</f>
        <v>0.763498213012746</v>
      </c>
      <c r="E40">
        <f ca="1" t="shared" si="11"/>
        <v>63.7949673443867</v>
      </c>
      <c r="F40">
        <f ca="1" t="shared" si="8"/>
        <v>-15.7751316612864</v>
      </c>
      <c r="G40">
        <f ca="1" t="shared" si="8"/>
        <v>0.0103755520272636</v>
      </c>
    </row>
    <row r="41" spans="1:7" ht="10.5">
      <c r="A41" s="4">
        <f t="shared" si="9"/>
        <v>11</v>
      </c>
      <c r="B41">
        <f ca="1" t="shared" si="7"/>
        <v>0.295394021624952</v>
      </c>
      <c r="C41">
        <f ca="1" t="shared" si="10"/>
        <v>0.0138651557643137</v>
      </c>
      <c r="D41">
        <f ca="1">INDIRECT(ADDRESS(83+(ROW()-31)*3+(COLUMN()-2),2,3,TRUE,"RawData5x5Input"))</f>
        <v>0.789496857748563</v>
      </c>
      <c r="E41">
        <f ca="1" t="shared" si="11"/>
        <v>0.295263000011154</v>
      </c>
      <c r="F41">
        <f ca="1" t="shared" si="8"/>
        <v>5.41817950743259E-05</v>
      </c>
      <c r="G41">
        <f ca="1" t="shared" si="8"/>
        <v>0.0669935253056366</v>
      </c>
    </row>
    <row r="42" spans="1:7" ht="10.5">
      <c r="A42" s="4">
        <f t="shared" si="9"/>
        <v>12</v>
      </c>
      <c r="B42">
        <f ca="1" t="shared" si="7"/>
        <v>16.1606801491172</v>
      </c>
      <c r="C42">
        <f ca="1" t="shared" si="10"/>
        <v>0.648446703440936</v>
      </c>
      <c r="D42" s="13">
        <f>AVERAGE(D41,D43)</f>
        <v>0.7953339936064789</v>
      </c>
      <c r="E42">
        <f ca="1" t="shared" si="11"/>
        <v>16.1729435201859</v>
      </c>
      <c r="F42">
        <f ca="1" t="shared" si="8"/>
        <v>3.17478095847429E-05</v>
      </c>
      <c r="G42" s="13">
        <f>AVERAGE(G41,G43)</f>
        <v>0.06462945187121485</v>
      </c>
    </row>
    <row r="43" spans="1:7" ht="10.5">
      <c r="A43" s="4">
        <f t="shared" si="9"/>
        <v>13</v>
      </c>
      <c r="B43">
        <f ca="1" t="shared" si="7"/>
        <v>32.0201023686353</v>
      </c>
      <c r="C43">
        <f ca="1" t="shared" si="10"/>
        <v>1.28344239330509</v>
      </c>
      <c r="D43">
        <f ca="1">INDIRECT(ADDRESS(83+(ROW()-31)*3+(COLUMN()-2),2,3,TRUE,"RawData5x5Input"))</f>
        <v>0.801171129464395</v>
      </c>
      <c r="E43">
        <f ca="1" t="shared" si="11"/>
        <v>32.0451704015238</v>
      </c>
      <c r="F43">
        <f ca="1" t="shared" si="8"/>
        <v>-0.000127623201231756</v>
      </c>
      <c r="G43">
        <f ca="1" t="shared" si="8"/>
        <v>0.0622653784367931</v>
      </c>
    </row>
    <row r="44" spans="1:7" ht="10.5">
      <c r="A44" s="4">
        <f t="shared" si="9"/>
        <v>14</v>
      </c>
      <c r="B44">
        <f ca="1" t="shared" si="7"/>
        <v>47.8823057900413</v>
      </c>
      <c r="C44">
        <f ca="1" t="shared" si="10"/>
        <v>1.91828076281754</v>
      </c>
      <c r="D44">
        <f ca="1">INDIRECT(ADDRESS(83+(ROW()-31)*3+(COLUMN()-2),2,3,TRUE,"RawData5x5Input"))</f>
        <v>0.793855506457573</v>
      </c>
      <c r="E44">
        <f ca="1" t="shared" si="11"/>
        <v>47.9201778619859</v>
      </c>
      <c r="F44">
        <f ca="1" t="shared" si="8"/>
        <v>3.1204808358565E-05</v>
      </c>
      <c r="G44">
        <f ca="1" t="shared" si="8"/>
        <v>0.0493196182821177</v>
      </c>
    </row>
    <row r="45" spans="1:7" ht="10.5">
      <c r="A45" s="4">
        <f t="shared" si="9"/>
        <v>15</v>
      </c>
      <c r="B45">
        <f ca="1" t="shared" si="7"/>
        <v>63.7445954628594</v>
      </c>
      <c r="C45">
        <f ca="1" t="shared" si="10"/>
        <v>2.5531300850326</v>
      </c>
      <c r="D45">
        <f ca="1">INDIRECT(ADDRESS(83+(ROW()-31)*3+(COLUMN()-2),2,3,TRUE,"RawData5x5Input"))</f>
        <v>0.763533168721195</v>
      </c>
      <c r="E45">
        <f ca="1" t="shared" si="11"/>
        <v>63.7949852897653</v>
      </c>
      <c r="F45">
        <f ca="1" t="shared" si="8"/>
        <v>-0.000114118466391109</v>
      </c>
      <c r="G45">
        <f ca="1" t="shared" si="8"/>
        <v>0.0151690723521093</v>
      </c>
    </row>
    <row r="46" spans="1:7" ht="10.5">
      <c r="A46" s="4">
        <f t="shared" si="9"/>
        <v>16</v>
      </c>
      <c r="B46">
        <f ca="1" t="shared" si="7"/>
        <v>-0.335319380191872</v>
      </c>
      <c r="C46">
        <f ca="1" t="shared" si="10"/>
        <v>15.7773378951062</v>
      </c>
      <c r="D46">
        <f ca="1">INDIRECT(ADDRESS(83+(ROW()-31)*3+(COLUMN()-2),2,3,TRUE,"RawData5x5Input"))</f>
        <v>0.792242820105612</v>
      </c>
      <c r="E46">
        <f ca="1" t="shared" si="11"/>
        <v>0.295172365451607</v>
      </c>
      <c r="F46">
        <f ca="1" t="shared" si="8"/>
        <v>15.7748881741279</v>
      </c>
      <c r="G46">
        <f ca="1" t="shared" si="8"/>
        <v>0.0725821939554841</v>
      </c>
    </row>
    <row r="47" spans="1:7" ht="10.5">
      <c r="A47" s="4">
        <f t="shared" si="9"/>
        <v>17</v>
      </c>
      <c r="B47">
        <f ca="1" t="shared" si="7"/>
        <v>15.5312933070273</v>
      </c>
      <c r="C47">
        <f ca="1" t="shared" si="10"/>
        <v>16.4116923984018</v>
      </c>
      <c r="D47" s="13">
        <f>AVERAGE(D46,D48)</f>
        <v>0.7952527693452975</v>
      </c>
      <c r="E47">
        <f ca="1" t="shared" si="11"/>
        <v>16.174283089164</v>
      </c>
      <c r="F47">
        <f ca="1" t="shared" si="11"/>
        <v>15.7752284013622</v>
      </c>
      <c r="G47" s="13">
        <f>AVERAGE(G46,G48)</f>
        <v>0.06967366841213316</v>
      </c>
    </row>
    <row r="48" spans="1:7" ht="10.5">
      <c r="A48" s="4">
        <f t="shared" si="9"/>
        <v>18</v>
      </c>
      <c r="B48">
        <f ca="1" t="shared" si="7"/>
        <v>31.3892584973537</v>
      </c>
      <c r="C48">
        <f ca="1" t="shared" si="10"/>
        <v>17.0468146755707</v>
      </c>
      <c r="D48">
        <f ca="1">INDIRECT(ADDRESS(83+(ROW()-31)*3+(COLUMN()-2),2,3,TRUE,"RawData5x5Input"))</f>
        <v>0.798262718584983</v>
      </c>
      <c r="E48">
        <f ca="1" t="shared" si="11"/>
        <v>32.0453011187062</v>
      </c>
      <c r="F48">
        <f ca="1" t="shared" si="11"/>
        <v>15.7749200174531</v>
      </c>
      <c r="G48">
        <f ca="1" t="shared" si="11"/>
        <v>0.0667651428687822</v>
      </c>
    </row>
    <row r="49" spans="1:7" ht="10.5">
      <c r="A49" s="4">
        <f t="shared" si="9"/>
        <v>19</v>
      </c>
      <c r="B49">
        <f ca="1" t="shared" si="7"/>
        <v>47.2515592691061</v>
      </c>
      <c r="C49">
        <f ca="1" t="shared" si="10"/>
        <v>17.6815588609831</v>
      </c>
      <c r="D49">
        <f ca="1">INDIRECT(ADDRESS(83+(ROW()-31)*3+(COLUMN()-2),2,3,TRUE,"RawData5x5Input"))</f>
        <v>0.785975035142963</v>
      </c>
      <c r="E49">
        <f ca="1" t="shared" si="11"/>
        <v>47.9200864976293</v>
      </c>
      <c r="F49">
        <f ca="1" t="shared" si="11"/>
        <v>15.774881537173</v>
      </c>
      <c r="G49">
        <f ca="1" t="shared" si="11"/>
        <v>0.0501078160087366</v>
      </c>
    </row>
    <row r="50" spans="1:7" ht="10.5">
      <c r="A50" s="4">
        <f t="shared" si="9"/>
        <v>20</v>
      </c>
      <c r="B50">
        <f ca="1" t="shared" si="7"/>
        <v>63.113738610875</v>
      </c>
      <c r="C50">
        <f ca="1" t="shared" si="10"/>
        <v>18.3164067489614</v>
      </c>
      <c r="D50">
        <f ca="1">INDIRECT(ADDRESS(83+(ROW()-31)*3+(COLUMN()-2),2,3,TRUE,"RawData5x5Input"))</f>
        <v>0.752146352696953</v>
      </c>
      <c r="E50">
        <f ca="1" t="shared" si="11"/>
        <v>63.7949822866495</v>
      </c>
      <c r="F50">
        <f ca="1" t="shared" si="11"/>
        <v>15.775042589203</v>
      </c>
      <c r="G50">
        <f ca="1" t="shared" si="11"/>
        <v>0.0130623337581677</v>
      </c>
    </row>
    <row r="51" spans="1:7" ht="10.5">
      <c r="A51" s="4">
        <f t="shared" si="9"/>
        <v>21</v>
      </c>
      <c r="B51">
        <f ca="1" t="shared" si="7"/>
        <v>-0.96624198382515</v>
      </c>
      <c r="C51">
        <f ca="1" t="shared" si="10"/>
        <v>31.5406032895235</v>
      </c>
      <c r="D51">
        <f ca="1">INDIRECT(ADDRESS(83+(ROW()-31)*3+(COLUMN()-2),2,3,TRUE,"RawData5x5Input"))</f>
        <v>0.789594623833693</v>
      </c>
      <c r="E51">
        <f ca="1" t="shared" si="11"/>
        <v>0.29516075788646</v>
      </c>
      <c r="F51">
        <f ca="1" t="shared" si="11"/>
        <v>31.549892954068</v>
      </c>
      <c r="G51">
        <f ca="1" t="shared" si="11"/>
        <v>0.0713905065319661</v>
      </c>
    </row>
    <row r="52" spans="1:7" ht="10.5">
      <c r="A52" s="4">
        <f t="shared" si="9"/>
        <v>22</v>
      </c>
      <c r="B52">
        <f ca="1" t="shared" si="7"/>
        <v>14.8989648533228</v>
      </c>
      <c r="C52">
        <f ca="1" t="shared" si="10"/>
        <v>32.1752907578316</v>
      </c>
      <c r="D52" s="13">
        <f>AVERAGE(D51,D53)</f>
        <v>0.78435067107159</v>
      </c>
      <c r="E52">
        <f ca="1" t="shared" si="11"/>
        <v>16.1728905495534</v>
      </c>
      <c r="F52">
        <f ca="1" t="shared" si="11"/>
        <v>31.5499744396386</v>
      </c>
      <c r="G52" s="13">
        <f>AVERAGE(G51,G53)</f>
        <v>0.0672456251129451</v>
      </c>
    </row>
    <row r="53" spans="1:7" ht="10.5">
      <c r="A53" s="4">
        <f t="shared" si="9"/>
        <v>23</v>
      </c>
      <c r="B53">
        <f ca="1" t="shared" si="7"/>
        <v>30.758363539677</v>
      </c>
      <c r="C53">
        <f ca="1" t="shared" si="10"/>
        <v>32.8102869198706</v>
      </c>
      <c r="D53">
        <f ca="1">INDIRECT(ADDRESS(83+(ROW()-31)*3+(COLUMN()-2),2,3,TRUE,"RawData5x5Input"))</f>
        <v>0.779106718309487</v>
      </c>
      <c r="E53">
        <f ca="1" t="shared" si="11"/>
        <v>32.0452082681821</v>
      </c>
      <c r="F53">
        <f ca="1" t="shared" si="11"/>
        <v>31.5500234690068</v>
      </c>
      <c r="G53">
        <f ca="1" t="shared" si="11"/>
        <v>0.0631007436939241</v>
      </c>
    </row>
    <row r="54" spans="1:7" ht="10.5">
      <c r="A54" s="4">
        <f t="shared" si="9"/>
        <v>24</v>
      </c>
      <c r="B54">
        <f ca="1" t="shared" si="7"/>
        <v>46.6205554081408</v>
      </c>
      <c r="C54">
        <f ca="1" t="shared" si="10"/>
        <v>33.4451293411221</v>
      </c>
      <c r="D54">
        <f ca="1">INDIRECT(ADDRESS(83+(ROW()-31)*3+(COLUMN()-2),2,3,TRUE,"RawData5x5Input"))</f>
        <v>0.761898294129112</v>
      </c>
      <c r="E54">
        <f ca="1" t="shared" si="11"/>
        <v>47.9200661144193</v>
      </c>
      <c r="F54">
        <f ca="1" t="shared" si="11"/>
        <v>31.5499853159699</v>
      </c>
      <c r="G54">
        <f ca="1" t="shared" si="11"/>
        <v>0.0415831159569139</v>
      </c>
    </row>
    <row r="55" spans="1:7" ht="10.5">
      <c r="A55" s="4">
        <f t="shared" si="9"/>
        <v>25</v>
      </c>
      <c r="B55">
        <f ca="1" t="shared" si="7"/>
        <v>62.4827336306183</v>
      </c>
      <c r="C55">
        <f ca="1" t="shared" si="10"/>
        <v>34.0798776628126</v>
      </c>
      <c r="D55">
        <f ca="1">INDIRECT(ADDRESS(83+(ROW()-31)*3+(COLUMN()-2),2,3,TRUE,"RawData5x5Input"))</f>
        <v>0.726583736814997</v>
      </c>
      <c r="E55">
        <f ca="1" t="shared" si="11"/>
        <v>63.7950561283635</v>
      </c>
      <c r="F55">
        <f ca="1" t="shared" si="11"/>
        <v>31.5500471468968</v>
      </c>
      <c r="G55">
        <f ca="1" t="shared" si="11"/>
        <v>0.00206500440033278</v>
      </c>
    </row>
    <row r="56" spans="1:7" ht="10.5">
      <c r="A56" s="4" t="s">
        <v>210</v>
      </c>
      <c r="B56" t="s">
        <v>312</v>
      </c>
      <c r="C56" t="s">
        <v>128</v>
      </c>
      <c r="D56" t="s">
        <v>292</v>
      </c>
      <c r="E56" t="s">
        <v>312</v>
      </c>
      <c r="F56" t="s">
        <v>128</v>
      </c>
      <c r="G56" t="s">
        <v>292</v>
      </c>
    </row>
    <row r="57" spans="1:7" ht="10.5">
      <c r="A57" s="4">
        <v>1</v>
      </c>
      <c r="B57">
        <f ca="1">INDIRECT(ADDRESS(158+(ROW()-57)*3+(COLUMN()-2),2,3,TRUE,"RawData5x5Input"))</f>
        <v>-5.758672458963697</v>
      </c>
      <c r="C57">
        <f ca="1">-INDIRECT(ADDRESS(158+(ROW()-57)*3+(COLUMN()-2),2,3,TRUE,"RawData5x5Input"))</f>
        <v>-37.122565111056126</v>
      </c>
      <c r="D57">
        <f ca="1">INDIRECT(ADDRESS(158+(ROW()-57)*3+(COLUMN()-2),2,3,TRUE,"RawData5x5Input"))</f>
        <v>0.7018206634754468</v>
      </c>
      <c r="E57">
        <f ca="1">INDIRECT(ADDRESS(158+(ROW()-57)*3+(COLUMN()-5),3,3,TRUE,"RawData5x5Input"))</f>
        <v>-5.758717058351902</v>
      </c>
      <c r="F57">
        <f ca="1" t="shared" si="12" ref="F57:G59">INDIRECT(ADDRESS(158+(ROW()-57)*3+(COLUMN()-5),3,3,TRUE,"RawData5x5Input"))</f>
        <v>-37.12268764300128</v>
      </c>
      <c r="G57">
        <f ca="1" t="shared" si="12"/>
        <v>-0.04403918933992687</v>
      </c>
    </row>
    <row r="58" spans="1:7" ht="10.5">
      <c r="A58" s="4">
        <f>A57+1</f>
        <v>2</v>
      </c>
      <c r="B58">
        <f ca="1">INDIRECT(ADDRESS(158+(ROW()-57)*3+(COLUMN()-2),2,3,TRUE,"RawData5x5Input"))</f>
        <v>39.23727195991903</v>
      </c>
      <c r="C58">
        <f ca="1">-INDIRECT(ADDRESS(158+(ROW()-57)*3+(COLUMN()-2),2,3,TRUE,"RawData5x5Input"))</f>
        <v>-36.472521741253175</v>
      </c>
      <c r="D58">
        <f ca="1">INDIRECT(ADDRESS(158+(ROW()-57)*3+(COLUMN()-2),2,3,TRUE,"RawData5x5Input"))</f>
        <v>0.6795604323699467</v>
      </c>
      <c r="E58">
        <f ca="1">INDIRECT(ADDRESS(158+(ROW()-57)*3+(COLUMN()-5),3,3,TRUE,"RawData5x5Input"))</f>
        <v>39.237259290018855</v>
      </c>
      <c r="F58">
        <f ca="1" t="shared" si="12"/>
        <v>-36.472640314988254</v>
      </c>
      <c r="G58">
        <f ca="1" t="shared" si="12"/>
        <v>-0.03637847492324928</v>
      </c>
    </row>
    <row r="59" spans="1:7" ht="10.5">
      <c r="A59" s="4">
        <f>A58+1</f>
        <v>3</v>
      </c>
      <c r="B59">
        <f ca="1">INDIRECT(ADDRESS(158+(ROW()-57)*3+(COLUMN()-2),2,3,TRUE,"RawData5x5Input"))</f>
        <v>-0.7105872446329696</v>
      </c>
      <c r="C59">
        <f ca="1">-INDIRECT(ADDRESS(158+(ROW()-57)*3+(COLUMN()-2),2,3,TRUE,"RawData5x5Input"))</f>
        <v>35.50953953168217</v>
      </c>
      <c r="D59">
        <f ca="1">INDIRECT(ADDRESS(158+(ROW()-57)*3+(COLUMN()-2),2,3,TRUE,"RawData5x5Input"))</f>
        <v>0.6874388661213816</v>
      </c>
      <c r="E59">
        <f ca="1">INDIRECT(ADDRESS(158+(ROW()-57)*3+(COLUMN()-5),3,3,TRUE,"RawData5x5Input"))</f>
        <v>-0.7107075270278513</v>
      </c>
      <c r="F59">
        <f ca="1" t="shared" si="12"/>
        <v>35.509422944007966</v>
      </c>
      <c r="G59">
        <f ca="1" t="shared" si="12"/>
        <v>-0.03852279121703276</v>
      </c>
    </row>
    <row r="60" spans="1:7" ht="10.5">
      <c r="A60" t="s">
        <v>337</v>
      </c>
      <c r="B60" t="s">
        <v>312</v>
      </c>
      <c r="C60" t="s">
        <v>128</v>
      </c>
      <c r="D60" t="s">
        <v>292</v>
      </c>
      <c r="E60" t="s">
        <v>312</v>
      </c>
      <c r="F60" t="s">
        <v>128</v>
      </c>
      <c r="G60" t="s">
        <v>292</v>
      </c>
    </row>
    <row r="61" spans="1:7" ht="10.5">
      <c r="A61">
        <v>1</v>
      </c>
      <c r="B61">
        <f ca="1">INDIRECT(ADDRESS(167+(ROW()-61)*3+(COLUMN()-2),2,3,TRUE,"RawData5x5Input"))</f>
        <v>-5.81866482121301</v>
      </c>
      <c r="C61">
        <f ca="1">-INDIRECT(ADDRESS(167+(ROW()-61)*3+(COLUMN()-2),2,3,TRUE,"RawData5x5Input"))</f>
        <v>-34.12321471120805</v>
      </c>
      <c r="D61">
        <f ca="1">INDIRECT(ADDRESS(167+(ROW()-61)*3+(COLUMN()-2),2,3,TRUE,"RawData5x5Input"))</f>
        <v>0.7049995112830515</v>
      </c>
      <c r="E61">
        <f ca="1">INDIRECT(ADDRESS(167+(ROW()-61)*3+(COLUMN()-5),3,3,TRUE,"RawData5x5Input"))</f>
        <v>-5.818662843029751</v>
      </c>
      <c r="F61">
        <f ca="1">INDIRECT(ADDRESS(167+(ROW()-61)*3+(COLUMN()-5),3,3,TRUE,"RawData5x5Input"))</f>
        <v>-34.123330510784555</v>
      </c>
      <c r="G61">
        <f ca="1">INDIRECT(ADDRESS(167+(ROW()-61)*3+(COLUMN()-5),3,3,TRUE,"RawData5x5Input"))</f>
        <v>-0.048450737226116744</v>
      </c>
    </row>
    <row r="62" spans="1:7" ht="10.5">
      <c r="A62" s="4">
        <f>A61+1</f>
        <v>2</v>
      </c>
      <c r="B62">
        <f ca="1" t="shared" si="13" ref="B62:B68">INDIRECT(ADDRESS(167+(ROW()-61)*3+(COLUMN()-2),2,3,TRUE,"RawData5x5Input"))</f>
        <v>-5.6986800967143845</v>
      </c>
      <c r="C62">
        <f aca="true" ca="1" t="shared" si="14" ref="C62:C68">-INDIRECT(ADDRESS(167+(ROW()-61)*3+(COLUMN()-2),2,3,TRUE,"RawData5x5Input"))</f>
        <v>-40.1219155109042</v>
      </c>
      <c r="D62">
        <f ca="1" t="shared" si="15" ref="D62:D68">INDIRECT(ADDRESS(167+(ROW()-61)*3+(COLUMN()-2),2,3,TRUE,"RawData5x5Input"))</f>
        <v>0.698641815667842</v>
      </c>
      <c r="E62">
        <f ca="1" t="shared" si="16" ref="E62:G68">INDIRECT(ADDRESS(167+(ROW()-61)*3+(COLUMN()-5),3,3,TRUE,"RawData5x5Input"))</f>
        <v>-5.698771273674055</v>
      </c>
      <c r="F62">
        <f ca="1" t="shared" si="16"/>
        <v>-40.122044775218</v>
      </c>
      <c r="G62">
        <f ca="1" t="shared" si="16"/>
        <v>-0.039627641453737</v>
      </c>
    </row>
    <row r="63" spans="1:7" ht="10.5">
      <c r="A63" s="4">
        <f aca="true" t="shared" si="17" ref="A63:A68">A62+1</f>
        <v>3</v>
      </c>
      <c r="B63">
        <f ca="1" t="shared" si="13"/>
        <v>-3.29876678513308</v>
      </c>
      <c r="C63">
        <f ca="1" t="shared" si="14"/>
        <v>-47.62541322090195</v>
      </c>
      <c r="D63">
        <f ca="1" t="shared" si="15"/>
        <v>0.6797510119082645</v>
      </c>
      <c r="E63">
        <f ca="1" t="shared" si="16"/>
        <v>-3.024778982109785</v>
      </c>
      <c r="F63">
        <f ca="1" t="shared" si="16"/>
        <v>-47.6256151062447</v>
      </c>
      <c r="G63">
        <f ca="1" t="shared" si="16"/>
        <v>-0.0202695535313724</v>
      </c>
    </row>
    <row r="64" spans="1:7" ht="10.5">
      <c r="A64" s="4">
        <f t="shared" si="17"/>
        <v>4</v>
      </c>
      <c r="B64">
        <f ca="1" t="shared" si="13"/>
        <v>39.18224332901789</v>
      </c>
      <c r="C64">
        <f ca="1" t="shared" si="14"/>
        <v>-33.72303650667275</v>
      </c>
      <c r="D64">
        <f ca="1" t="shared" si="15"/>
        <v>0.6808502657531175</v>
      </c>
      <c r="E64">
        <f ca="1" t="shared" si="16"/>
        <v>39.18227897435935</v>
      </c>
      <c r="F64">
        <f ca="1" t="shared" si="16"/>
        <v>-33.72319633829445</v>
      </c>
      <c r="G64">
        <f ca="1" t="shared" si="16"/>
        <v>-0.03713381018514545</v>
      </c>
    </row>
    <row r="65" spans="1:7" ht="10.5">
      <c r="A65" s="4">
        <f t="shared" si="17"/>
        <v>5</v>
      </c>
      <c r="B65">
        <f ca="1" t="shared" si="13"/>
        <v>39.29230059082015</v>
      </c>
      <c r="C65">
        <f ca="1" t="shared" si="14"/>
        <v>-39.222006975833594</v>
      </c>
      <c r="D65">
        <f ca="1" t="shared" si="15"/>
        <v>0.678270598986776</v>
      </c>
      <c r="E65">
        <f ca="1" t="shared" si="16"/>
        <v>39.29223960567835</v>
      </c>
      <c r="F65">
        <f ca="1" t="shared" si="16"/>
        <v>-39.22208429168205</v>
      </c>
      <c r="G65">
        <f ca="1" t="shared" si="16"/>
        <v>-0.035623139661353095</v>
      </c>
    </row>
    <row r="66" spans="1:7" ht="10.5">
      <c r="A66" s="4">
        <f t="shared" si="17"/>
        <v>6</v>
      </c>
      <c r="B66">
        <f ca="1" t="shared" si="13"/>
        <v>35.69249140360225</v>
      </c>
      <c r="C66">
        <f ca="1" t="shared" si="14"/>
        <v>-46.7455003836823</v>
      </c>
      <c r="D66">
        <f ca="1" t="shared" si="15"/>
        <v>0.6765964615316955</v>
      </c>
      <c r="E66">
        <f ca="1" t="shared" si="16"/>
        <v>35.47162219043865</v>
      </c>
      <c r="F66">
        <f ca="1" t="shared" si="16"/>
        <v>-46.74563923992055</v>
      </c>
      <c r="G66">
        <f ca="1" t="shared" si="16"/>
        <v>-0.0298588042701039</v>
      </c>
    </row>
    <row r="67" spans="1:7" ht="10.5">
      <c r="A67" s="4">
        <f t="shared" si="17"/>
        <v>7</v>
      </c>
      <c r="B67">
        <f ca="1" t="shared" si="13"/>
        <v>15.2970664499357</v>
      </c>
      <c r="C67">
        <f ca="1" t="shared" si="14"/>
        <v>-39.7019616938967</v>
      </c>
      <c r="D67">
        <f ca="1" t="shared" si="15"/>
        <v>0.685492205682721</v>
      </c>
      <c r="E67">
        <f ca="1" t="shared" si="16"/>
        <v>0</v>
      </c>
      <c r="F67">
        <f ca="1" t="shared" si="16"/>
        <v>0</v>
      </c>
      <c r="G67">
        <f ca="1" t="shared" si="16"/>
        <v>0</v>
      </c>
    </row>
    <row r="68" spans="1:7" ht="10.5">
      <c r="A68" s="4">
        <f t="shared" si="17"/>
        <v>8</v>
      </c>
      <c r="B68">
        <f ca="1" t="shared" si="13"/>
        <v>15.4469376497153</v>
      </c>
      <c r="C68">
        <f ca="1" t="shared" si="14"/>
        <v>-47.2004030458442</v>
      </c>
      <c r="D68">
        <f ca="1" t="shared" si="15"/>
        <v>0.675381729212972</v>
      </c>
      <c r="E68">
        <f ca="1" t="shared" si="16"/>
        <v>0</v>
      </c>
      <c r="F68">
        <f ca="1" t="shared" si="16"/>
        <v>0</v>
      </c>
      <c r="G68">
        <f ca="1" t="shared" si="16"/>
        <v>0</v>
      </c>
    </row>
    <row r="69" spans="1:7" ht="10.5">
      <c r="A69" s="4" t="s">
        <v>338</v>
      </c>
      <c r="B69" t="s">
        <v>312</v>
      </c>
      <c r="C69" t="s">
        <v>128</v>
      </c>
      <c r="D69" t="s">
        <v>292</v>
      </c>
      <c r="E69" t="s">
        <v>312</v>
      </c>
      <c r="F69" t="s">
        <v>128</v>
      </c>
      <c r="G69" t="s">
        <v>292</v>
      </c>
    </row>
    <row r="70" spans="1:7" ht="10.5">
      <c r="A70" s="4">
        <v>1</v>
      </c>
      <c r="B70">
        <f ca="1">INDIRECT(ADDRESS(191+(ROW()-70)*3+(COLUMN()-2),2,3,TRUE,"RawData5x5Input"))</f>
        <v>-60</v>
      </c>
      <c r="C70">
        <f ca="1">-INDIRECT(ADDRESS(191+(ROW()-70)*3+(COLUMN()-2),2,3,TRUE,"RawData5x5Input"))</f>
        <v>-30</v>
      </c>
      <c r="D70">
        <f ca="1">INDIRECT(ADDRESS(191+(ROW()-70)*3+(COLUMN()-2),2,3,TRUE,"RawData5x5Input"))</f>
        <v>0</v>
      </c>
      <c r="E70">
        <f ca="1">INDIRECT(ADDRESS(191+(ROW()-70)*3+(COLUMN()-5),3,3,TRUE,"RawData5x5Input"))</f>
        <v>-60</v>
      </c>
      <c r="F70">
        <f ca="1" t="shared" si="18" ref="F70:G72">INDIRECT(ADDRESS(191+(ROW()-70)*3+(COLUMN()-5),3,3,TRUE,"RawData5x5Input"))</f>
        <v>-30</v>
      </c>
      <c r="G70">
        <f ca="1" t="shared" si="18"/>
        <v>0</v>
      </c>
    </row>
    <row r="71" spans="1:7" ht="10.5">
      <c r="A71" s="4">
        <f>A70+1</f>
        <v>2</v>
      </c>
      <c r="B71">
        <f ca="1">INDIRECT(ADDRESS(191+(ROW()-70)*3+(COLUMN()-2),2,3,TRUE,"RawData5x5Input"))</f>
        <v>60</v>
      </c>
      <c r="C71">
        <f ca="1">-INDIRECT(ADDRESS(191+(ROW()-70)*3+(COLUMN()-2),2,3,TRUE,"RawData5x5Input"))</f>
        <v>-30</v>
      </c>
      <c r="D71">
        <f ca="1">INDIRECT(ADDRESS(191+(ROW()-70)*3+(COLUMN()-2),2,3,TRUE,"RawData5x5Input"))</f>
        <v>0</v>
      </c>
      <c r="E71">
        <f ca="1">INDIRECT(ADDRESS(191+(ROW()-70)*3+(COLUMN()-5),3,3,TRUE,"RawData5x5Input"))</f>
        <v>60</v>
      </c>
      <c r="F71">
        <f ca="1" t="shared" si="18"/>
        <v>-30</v>
      </c>
      <c r="G71">
        <f ca="1" t="shared" si="18"/>
        <v>0</v>
      </c>
    </row>
    <row r="72" spans="1:7" ht="10.5">
      <c r="A72" s="4">
        <f>A71+1</f>
        <v>3</v>
      </c>
      <c r="B72">
        <f ca="1">INDIRECT(ADDRESS(191+(ROW()-70)*3+(COLUMN()-2),2,3,TRUE,"RawData5x5Input"))</f>
        <v>60</v>
      </c>
      <c r="C72">
        <f ca="1">-INDIRECT(ADDRESS(191+(ROW()-70)*3+(COLUMN()-2),2,3,TRUE,"RawData5x5Input"))</f>
        <v>30</v>
      </c>
      <c r="D72">
        <f ca="1">INDIRECT(ADDRESS(191+(ROW()-70)*3+(COLUMN()-2),2,3,TRUE,"RawData5x5Input"))</f>
        <v>0</v>
      </c>
      <c r="E72">
        <f ca="1">INDIRECT(ADDRESS(191+(ROW()-70)*3+(COLUMN()-5),3,3,TRUE,"RawData5x5Input"))</f>
        <v>60</v>
      </c>
      <c r="F72">
        <f ca="1" t="shared" si="18"/>
        <v>30</v>
      </c>
      <c r="G72">
        <f ca="1" t="shared" si="18"/>
        <v>0</v>
      </c>
    </row>
    <row r="73" spans="1:7" ht="10.5">
      <c r="A73" t="s">
        <v>339</v>
      </c>
      <c r="B73" t="s">
        <v>312</v>
      </c>
      <c r="C73" t="s">
        <v>128</v>
      </c>
      <c r="D73" t="s">
        <v>292</v>
      </c>
      <c r="E73" t="s">
        <v>312</v>
      </c>
      <c r="F73" t="s">
        <v>128</v>
      </c>
      <c r="G73" t="s">
        <v>292</v>
      </c>
    </row>
    <row r="74" spans="1:7" ht="10.5">
      <c r="A74" s="4" t="s">
        <v>340</v>
      </c>
      <c r="B74">
        <f ca="1">INDIRECT(ADDRESS(200+(ROW()-74)*3+(COLUMN()-2),2,3,TRUE,"RawData5x5Input"))</f>
        <v>7.92550686361975</v>
      </c>
      <c r="C74">
        <f ca="1">-INDIRECT(ADDRESS(200+(ROW()-74)*3+(COLUMN()-2),2,3,TRUE,"RawData5x5Input"))</f>
        <v>-32.1500538837986</v>
      </c>
      <c r="D74">
        <f ca="1" t="shared" si="19" ref="D74:D82">INDIRECT(ADDRESS(200+(ROW()-74)*3+(COLUMN()-2),2,3,TRUE,"RawData5x5Input"))</f>
        <v>1.76612384593895</v>
      </c>
      <c r="E74">
        <f ca="1">INDIRECT(ADDRESS(200+(ROW()-74)*3+(COLUMN()-5),3,3,TRUE,"RawData5x5Input"))</f>
        <v>6.06174141816701</v>
      </c>
      <c r="F74">
        <f ca="1" t="shared" si="20" ref="F74:G82">INDIRECT(ADDRESS(200+(ROW()-74)*3+(COLUMN()-5),3,3,TRUE,"RawData5x5Input"))</f>
        <v>-34.0668618182131</v>
      </c>
      <c r="G74">
        <f ca="1" t="shared" si="20"/>
        <v>1.03071438320685</v>
      </c>
    </row>
    <row r="75" spans="1:7" ht="10.5">
      <c r="A75" s="4" t="s">
        <v>341</v>
      </c>
      <c r="B75">
        <f ca="1" t="shared" si="21" ref="B75:B82">INDIRECT(ADDRESS(200+(ROW()-74)*3+(COLUMN()-2),2,3,TRUE,"RawData5x5Input"))</f>
        <v>26.2537901769112</v>
      </c>
      <c r="C75">
        <f aca="true" ca="1" t="shared" si="22" ref="C75:C82">-INDIRECT(ADDRESS(200+(ROW()-74)*3+(COLUMN()-2),2,3,TRUE,"RawData5x5Input"))</f>
        <v>-33.6019413909727</v>
      </c>
      <c r="D75">
        <f ca="1" t="shared" si="19"/>
        <v>1.76809961335299</v>
      </c>
      <c r="E75">
        <f ca="1" t="shared" si="23" ref="E75:E82">INDIRECT(ADDRESS(200+(ROW()-74)*3+(COLUMN()-5),3,3,TRUE,"RawData5x5Input"))</f>
        <v>24.8442878819606</v>
      </c>
      <c r="F75">
        <f ca="1" t="shared" si="20"/>
        <v>-31.5160456587351</v>
      </c>
      <c r="G75">
        <f ca="1" t="shared" si="20"/>
        <v>1.03051082664583</v>
      </c>
    </row>
    <row r="76" spans="1:7" ht="10.5">
      <c r="A76" s="4" t="s">
        <v>342</v>
      </c>
      <c r="B76">
        <f ca="1" t="shared" si="21"/>
        <v>8.63204448457499</v>
      </c>
      <c r="C76">
        <f ca="1" t="shared" si="22"/>
        <v>0.294967827994007</v>
      </c>
      <c r="D76">
        <f ca="1" t="shared" si="19"/>
        <v>1.75407323991335</v>
      </c>
      <c r="E76">
        <f ca="1" t="shared" si="23"/>
        <v>8.55020295949023</v>
      </c>
      <c r="F76">
        <f ca="1" t="shared" si="20"/>
        <v>-0.0594225033368094</v>
      </c>
      <c r="G76">
        <f ca="1" t="shared" si="20"/>
        <v>1.05261842809057</v>
      </c>
    </row>
    <row r="77" spans="1:7" ht="10.5">
      <c r="A77" s="4" t="s">
        <v>343</v>
      </c>
      <c r="B77">
        <f ca="1" t="shared" si="21"/>
        <v>24.7702221208639</v>
      </c>
      <c r="C77">
        <f ca="1" t="shared" si="22"/>
        <v>0.976372552235165</v>
      </c>
      <c r="D77">
        <f ca="1" t="shared" si="19"/>
        <v>1.66968363693662</v>
      </c>
      <c r="E77">
        <f ca="1" t="shared" si="23"/>
        <v>23.0228061611977</v>
      </c>
      <c r="F77">
        <f ca="1" t="shared" si="20"/>
        <v>-0.0615480880144143</v>
      </c>
      <c r="G77">
        <f ca="1" t="shared" si="20"/>
        <v>0.995146389576113</v>
      </c>
    </row>
    <row r="78" spans="1:7" ht="10.5">
      <c r="A78" s="4" t="s">
        <v>344</v>
      </c>
      <c r="B78">
        <f ca="1" t="shared" si="21"/>
        <v>5.19604378580436</v>
      </c>
      <c r="C78">
        <f ca="1" t="shared" si="22"/>
        <v>32.6283278849203</v>
      </c>
      <c r="D78">
        <f ca="1" t="shared" si="19"/>
        <v>1.76342106037609</v>
      </c>
      <c r="E78">
        <f ca="1" t="shared" si="23"/>
        <v>6.52568467538026</v>
      </c>
      <c r="F78">
        <f ca="1" t="shared" si="20"/>
        <v>34.5899004818309</v>
      </c>
      <c r="G78">
        <f ca="1" t="shared" si="20"/>
        <v>1.02978898786532</v>
      </c>
    </row>
    <row r="79" spans="1:7" ht="10.5">
      <c r="A79" s="4" t="s">
        <v>345</v>
      </c>
      <c r="B79">
        <f ca="1" t="shared" si="21"/>
        <v>23.4903078556142</v>
      </c>
      <c r="C79">
        <f ca="1" t="shared" si="22"/>
        <v>32.8841988970447</v>
      </c>
      <c r="D79">
        <f ca="1" t="shared" si="19"/>
        <v>1.74251411185645</v>
      </c>
      <c r="E79">
        <f ca="1" t="shared" si="23"/>
        <v>24.3434027626671</v>
      </c>
      <c r="F79">
        <f ca="1" t="shared" si="20"/>
        <v>34.5131013405452</v>
      </c>
      <c r="G79">
        <f ca="1" t="shared" si="20"/>
        <v>1.03990402499359</v>
      </c>
    </row>
    <row r="80" spans="1:7" ht="10.5">
      <c r="A80" s="4" t="s">
        <v>346</v>
      </c>
      <c r="B80">
        <f ca="1" t="shared" si="21"/>
        <v>6.13695670140037</v>
      </c>
      <c r="C80">
        <f ca="1" t="shared" si="22"/>
        <v>36.3678180961291</v>
      </c>
      <c r="D80">
        <f ca="1" t="shared" si="19"/>
        <v>2.89198664480403</v>
      </c>
      <c r="E80">
        <f ca="1" t="shared" si="23"/>
        <v>7.67102584144579</v>
      </c>
      <c r="F80">
        <f ca="1" t="shared" si="20"/>
        <v>36.1273816461874</v>
      </c>
      <c r="G80">
        <f ca="1" t="shared" si="20"/>
        <v>2.15907947018536</v>
      </c>
    </row>
    <row r="81" spans="1:7" ht="10.5">
      <c r="A81" s="4" t="s">
        <v>347</v>
      </c>
      <c r="B81">
        <f ca="1" t="shared" si="21"/>
        <v>7.98811265367451</v>
      </c>
      <c r="C81">
        <f ca="1" t="shared" si="22"/>
        <v>33.7313943516051</v>
      </c>
      <c r="D81">
        <f ca="1" t="shared" si="19"/>
        <v>2.99227705265854</v>
      </c>
      <c r="E81">
        <f ca="1" t="shared" si="23"/>
        <v>9.35198044356873</v>
      </c>
      <c r="F81">
        <f ca="1" t="shared" si="20"/>
        <v>33.3477609479827</v>
      </c>
      <c r="G81">
        <f ca="1" t="shared" si="20"/>
        <v>2.27274674937325</v>
      </c>
    </row>
    <row r="82" spans="1:7" ht="10.5">
      <c r="A82" s="4" t="s">
        <v>348</v>
      </c>
      <c r="B82">
        <f ca="1" t="shared" si="21"/>
        <v>18.4681183587422</v>
      </c>
      <c r="C82">
        <f ca="1" t="shared" si="22"/>
        <v>34.0256545627202</v>
      </c>
      <c r="D82">
        <f ca="1" t="shared" si="19"/>
        <v>2.9840645128761</v>
      </c>
      <c r="E82">
        <f ca="1" t="shared" si="23"/>
        <v>19.8968286865846</v>
      </c>
      <c r="F82">
        <f ca="1" t="shared" si="20"/>
        <v>33.3359254553513</v>
      </c>
      <c r="G82">
        <f ca="1" t="shared" si="20"/>
        <v>2.25942843141715</v>
      </c>
    </row>
  </sheetData>
  <printOptions/>
  <pageMargins left="0.75" right="0.75" top="1" bottom="1" header="0.512" footer="0.512"/>
  <pageSetup fitToHeight="1" fitToWidth="1" orientation="portrait" paperSize="9" scale="66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workbookViewId="0" topLeftCell="A42">
      <selection activeCell="D52" sqref="D52"/>
    </sheetView>
  </sheetViews>
  <sheetFormatPr defaultColWidth="9.140625" defaultRowHeight="12"/>
  <cols>
    <col min="1" max="10" width="12.00390625" style="0" customWidth="1"/>
    <col min="11" max="12" width="13.00390625" style="0" customWidth="1"/>
    <col min="13" max="16384" width="12.00390625" style="0" customWidth="1"/>
  </cols>
  <sheetData>
    <row r="1" ht="10.5">
      <c r="A1" t="s">
        <v>349</v>
      </c>
    </row>
    <row r="2" spans="6:7" ht="10.5">
      <c r="F2" s="14"/>
      <c r="G2" s="14"/>
    </row>
    <row r="3" spans="1:5" ht="10.5">
      <c r="A3" t="str">
        <f>StageFrame!$A$3</f>
        <v>RawData</v>
      </c>
      <c r="B3" t="s">
        <v>310</v>
      </c>
      <c r="E3" t="s">
        <v>311</v>
      </c>
    </row>
    <row r="4" spans="1:7" ht="10.5">
      <c r="A4" t="str">
        <f>StageFrame!A4</f>
        <v>LeftSensor</v>
      </c>
      <c r="B4" t="str">
        <f>StageFrame!B4</f>
        <v>x</v>
      </c>
      <c r="C4" t="str">
        <f>StageFrame!C4</f>
        <v>y</v>
      </c>
      <c r="D4" t="str">
        <f>StageFrame!D4</f>
        <v>z</v>
      </c>
      <c r="E4" t="str">
        <f>StageFrame!E4</f>
        <v>x</v>
      </c>
      <c r="F4" t="str">
        <f>StageFrame!F4</f>
        <v>y</v>
      </c>
      <c r="G4" t="str">
        <f>StageFrame!G4</f>
        <v>z</v>
      </c>
    </row>
    <row r="5" spans="1:7" ht="10.5">
      <c r="A5">
        <f>StageFrame!A5</f>
        <v>1</v>
      </c>
      <c r="B5">
        <f>(StageFrame!B5-Transformations!$B$4)*Transformations!$B$12+(StageFrame!C5-Transformations!$B$5)*Transformations!$B$13</f>
        <v>-63.15194397493971</v>
      </c>
      <c r="C5">
        <f>-(StageFrame!B5-Transformations!$B$4)*Transformations!$B$13+(StageFrame!C5-Transformations!$B$5)*Transformations!$B$12</f>
        <v>-32.82151733829031</v>
      </c>
      <c r="D5">
        <f>StageFrame!D5</f>
        <v>0.744785025035811</v>
      </c>
      <c r="E5">
        <f>(StageFrame!E5-Transformations!$C$4)*Transformations!$C$12+(StageFrame!F5-Transformations!$C$5)*Transformations!$C$13</f>
        <v>-64.41365754277321</v>
      </c>
      <c r="F5">
        <f>-(StageFrame!E5-Transformations!$C$4)*Transformations!$C$13+(StageFrame!F5-Transformations!$C$5)*Transformations!$C$12</f>
        <v>-30.2679975244213</v>
      </c>
      <c r="G5">
        <f>StageFrame!G5</f>
        <v>-0.00546071342940743</v>
      </c>
    </row>
    <row r="6" spans="1:7" ht="10.5">
      <c r="A6">
        <f>StageFrame!A6</f>
        <v>2</v>
      </c>
      <c r="B6">
        <f>(StageFrame!B6-Transformations!$B$4)*Transformations!$B$12+(StageFrame!C6-Transformations!$B$5)*Transformations!$B$13</f>
        <v>-47.280023330980384</v>
      </c>
      <c r="C6">
        <f>-(StageFrame!B6-Transformations!$B$4)*Transformations!$B$13+(StageFrame!C6-Transformations!$B$5)*Transformations!$B$12</f>
        <v>-32.504029798264995</v>
      </c>
      <c r="D6">
        <f>StageFrame!D6</f>
        <v>0.776622636918301</v>
      </c>
      <c r="E6">
        <f>(StageFrame!E6-Transformations!$C$4)*Transformations!$C$12+(StageFrame!F6-Transformations!$C$5)*Transformations!$C$13</f>
        <v>-48.541730430576145</v>
      </c>
      <c r="F6">
        <f>-(StageFrame!E6-Transformations!$C$4)*Transformations!$C$13+(StageFrame!F6-Transformations!$C$5)*Transformations!$C$12</f>
        <v>-30.585401655505542</v>
      </c>
      <c r="G6">
        <f>StageFrame!G6</f>
        <v>0.0324977226242781</v>
      </c>
    </row>
    <row r="7" spans="1:7" ht="10.5">
      <c r="A7">
        <f>StageFrame!A7</f>
        <v>3</v>
      </c>
      <c r="B7">
        <f>(StageFrame!B7-Transformations!$B$4)*Transformations!$B$12+(StageFrame!C7-Transformations!$B$5)*Transformations!$B$13</f>
        <v>-31.40818178123216</v>
      </c>
      <c r="C7">
        <f>-(StageFrame!B7-Transformations!$B$4)*Transformations!$B$13+(StageFrame!C7-Transformations!$B$5)*Transformations!$B$12</f>
        <v>-32.186636995249216</v>
      </c>
      <c r="D7">
        <f>StageFrame!D7</f>
        <v>0.790715064760565</v>
      </c>
      <c r="E7">
        <f>(StageFrame!E7-Transformations!$C$4)*Transformations!$C$12+(StageFrame!F7-Transformations!$C$5)*Transformations!$C$13</f>
        <v>-32.66982714224453</v>
      </c>
      <c r="F7">
        <f>-(StageFrame!E7-Transformations!$C$4)*Transformations!$C$13+(StageFrame!F7-Transformations!$C$5)*Transformations!$C$12</f>
        <v>-30.90290713447816</v>
      </c>
      <c r="G7">
        <f>StageFrame!G7</f>
        <v>0.0524704834200497</v>
      </c>
    </row>
    <row r="8" spans="1:7" ht="10.5">
      <c r="A8">
        <f>StageFrame!A8</f>
        <v>4</v>
      </c>
      <c r="B8">
        <f>(StageFrame!B8-Transformations!$B$4)*Transformations!$B$12+(StageFrame!C8-Transformations!$B$5)*Transformations!$B$13</f>
        <v>-15.536388722729335</v>
      </c>
      <c r="C8">
        <f>-(StageFrame!B8-Transformations!$B$4)*Transformations!$B$13+(StageFrame!C8-Transformations!$B$5)*Transformations!$B$12</f>
        <v>-31.869141550160172</v>
      </c>
      <c r="D8">
        <f>StageFrame!D8</f>
        <v>0.79560926990494</v>
      </c>
      <c r="E8">
        <f>(StageFrame!E8-Transformations!$C$4)*Transformations!$C$12+(StageFrame!F8-Transformations!$C$5)*Transformations!$C$13</f>
        <v>-16.797893622119243</v>
      </c>
      <c r="F8">
        <f>-(StageFrame!E8-Transformations!$C$4)*Transformations!$C$13+(StageFrame!F8-Transformations!$C$5)*Transformations!$C$12</f>
        <v>-31.220413639012413</v>
      </c>
      <c r="G8">
        <f>StageFrame!G8</f>
        <v>0.0634778941419052</v>
      </c>
    </row>
    <row r="9" spans="1:7" ht="10.5">
      <c r="A9">
        <f>StageFrame!A9</f>
        <v>5</v>
      </c>
      <c r="B9">
        <f>(StageFrame!B9-Transformations!$B$4)*Transformations!$B$12+(StageFrame!C9-Transformations!$B$5)*Transformations!$B$13</f>
        <v>0.3354645025146119</v>
      </c>
      <c r="C9">
        <f>-(StageFrame!B9-Transformations!$B$4)*Transformations!$B$13+(StageFrame!C9-Transformations!$B$5)*Transformations!$B$12</f>
        <v>-31.55164197634071</v>
      </c>
      <c r="D9">
        <f>StageFrame!D9</f>
        <v>0.790977346948885</v>
      </c>
      <c r="E9">
        <f>(StageFrame!E9-Transformations!$C$4)*Transformations!$C$12+(StageFrame!F9-Transformations!$C$5)*Transformations!$C$13</f>
        <v>-0.9261993024332327</v>
      </c>
      <c r="F9">
        <f>-(StageFrame!E9-Transformations!$C$4)*Transformations!$C$13+(StageFrame!F9-Transformations!$C$5)*Transformations!$C$12</f>
        <v>-31.5378185435941</v>
      </c>
      <c r="G9">
        <f>StageFrame!G9</f>
        <v>0.0694860387838796</v>
      </c>
    </row>
    <row r="10" spans="1:7" ht="10.5">
      <c r="A10">
        <f>StageFrame!A10</f>
        <v>6</v>
      </c>
      <c r="B10">
        <f>(StageFrame!B10-Transformations!$B$4)*Transformations!$B$12+(StageFrame!C10-Transformations!$B$5)*Transformations!$B$13</f>
        <v>-63.467155369190955</v>
      </c>
      <c r="C10">
        <f>-(StageFrame!B10-Transformations!$B$4)*Transformations!$B$13+(StageFrame!C10-Transformations!$B$5)*Transformations!$B$12</f>
        <v>-17.048594228820978</v>
      </c>
      <c r="D10">
        <f>StageFrame!D10</f>
        <v>0.760081963265842</v>
      </c>
      <c r="E10">
        <f>(StageFrame!E10-Transformations!$C$4)*Transformations!$C$12+(StageFrame!F10-Transformations!$C$5)*Transformations!$C$13</f>
        <v>-64.09804843283048</v>
      </c>
      <c r="F10">
        <f>-(StageFrame!E10-Transformations!$C$4)*Transformations!$C$13+(StageFrame!F10-Transformations!$C$5)*Transformations!$C$12</f>
        <v>-14.496041252241485</v>
      </c>
      <c r="G10">
        <f>StageFrame!G10</f>
        <v>0.0151945733520424</v>
      </c>
    </row>
    <row r="11" spans="1:7" ht="10.5">
      <c r="A11">
        <f>StageFrame!A11</f>
        <v>7</v>
      </c>
      <c r="B11">
        <f>(StageFrame!B11-Transformations!$B$4)*Transformations!$B$12+(StageFrame!C11-Transformations!$B$5)*Transformations!$B$13</f>
        <v>-47.59544877204471</v>
      </c>
      <c r="C11">
        <f>-(StageFrame!B11-Transformations!$B$4)*Transformations!$B$13+(StageFrame!C11-Transformations!$B$5)*Transformations!$B$12</f>
        <v>-16.731208379910115</v>
      </c>
      <c r="D11">
        <f>StageFrame!D11</f>
        <v>0.788849813292503</v>
      </c>
      <c r="E11">
        <f>(StageFrame!E11-Transformations!$C$4)*Transformations!$C$12+(StageFrame!F11-Transformations!$C$5)*Transformations!$C$13</f>
        <v>-48.22621211606868</v>
      </c>
      <c r="F11">
        <f>-(StageFrame!E11-Transformations!$C$4)*Transformations!$C$13+(StageFrame!F11-Transformations!$C$5)*Transformations!$C$12</f>
        <v>-14.813544616546663</v>
      </c>
      <c r="G11">
        <f>StageFrame!G11</f>
        <v>0.053196775413888</v>
      </c>
    </row>
    <row r="12" spans="1:7" ht="10.5">
      <c r="A12">
        <f>StageFrame!A12</f>
        <v>8</v>
      </c>
      <c r="B12">
        <f>(StageFrame!B12-Transformations!$B$4)*Transformations!$B$12+(StageFrame!C12-Transformations!$B$5)*Transformations!$B$13</f>
        <v>-31.7236133032015</v>
      </c>
      <c r="C12">
        <f>-(StageFrame!B12-Transformations!$B$4)*Transformations!$B$13+(StageFrame!C12-Transformations!$B$5)*Transformations!$B$12</f>
        <v>-16.413714532435623</v>
      </c>
      <c r="D12">
        <f>StageFrame!D12</f>
        <v>0.799620630346143</v>
      </c>
      <c r="E12">
        <f>(StageFrame!E12-Transformations!$C$4)*Transformations!$C$12+(StageFrame!F12-Transformations!$C$5)*Transformations!$C$13</f>
        <v>-32.354431347822256</v>
      </c>
      <c r="F12">
        <f>-(StageFrame!E12-Transformations!$C$4)*Transformations!$C$13+(StageFrame!F12-Transformations!$C$5)*Transformations!$C$12</f>
        <v>-15.131049509106639</v>
      </c>
      <c r="G12">
        <f>StageFrame!G12</f>
        <v>0.0679252476004879</v>
      </c>
    </row>
    <row r="13" spans="1:7" ht="10.5">
      <c r="A13">
        <f>StageFrame!A13</f>
        <v>9</v>
      </c>
      <c r="B13">
        <f>(StageFrame!B13-Transformations!$B$4)*Transformations!$B$12+(StageFrame!C13-Transformations!$B$5)*Transformations!$B$13</f>
        <v>-15.851727523715104</v>
      </c>
      <c r="C13">
        <f>-(StageFrame!B13-Transformations!$B$4)*Transformations!$B$13+(StageFrame!C13-Transformations!$B$5)*Transformations!$B$12</f>
        <v>-16.096416806753194</v>
      </c>
      <c r="D13">
        <f>StageFrame!D13</f>
        <v>0.80118786804086</v>
      </c>
      <c r="E13">
        <f>(StageFrame!E13-Transformations!$C$4)*Transformations!$C$12+(StageFrame!F13-Transformations!$C$5)*Transformations!$C$13</f>
        <v>-16.48241668349551</v>
      </c>
      <c r="F13">
        <f>-(StageFrame!E13-Transformations!$C$4)*Transformations!$C$13+(StageFrame!F13-Transformations!$C$5)*Transformations!$C$12</f>
        <v>-15.448557277416178</v>
      </c>
      <c r="G13">
        <f>StageFrame!G13</f>
        <v>0.0722102028561138</v>
      </c>
    </row>
    <row r="14" spans="1:7" ht="10.5">
      <c r="A14">
        <f>StageFrame!A14</f>
        <v>10</v>
      </c>
      <c r="B14">
        <f>(StageFrame!B14-Transformations!$B$4)*Transformations!$B$12+(StageFrame!C14-Transformations!$B$5)*Transformations!$B$13</f>
        <v>0.020121202859296694</v>
      </c>
      <c r="C14">
        <f>-(StageFrame!B14-Transformations!$B$4)*Transformations!$B$13+(StageFrame!C14-Transformations!$B$5)*Transformations!$B$12</f>
        <v>-15.778817300882297</v>
      </c>
      <c r="D14">
        <f>StageFrame!D14</f>
        <v>0.796438736960382</v>
      </c>
      <c r="E14">
        <f>(StageFrame!E14-Transformations!$C$4)*Transformations!$C$12+(StageFrame!F14-Transformations!$C$5)*Transformations!$C$13</f>
        <v>-0.6106335977673891</v>
      </c>
      <c r="F14">
        <f>-(StageFrame!E14-Transformations!$C$4)*Transformations!$C$13+(StageFrame!F14-Transformations!$C$5)*Transformations!$C$12</f>
        <v>-15.76596341625871</v>
      </c>
      <c r="G14">
        <f>StageFrame!G14</f>
        <v>0.0725907675243516</v>
      </c>
    </row>
    <row r="15" spans="1:7" ht="10.5">
      <c r="A15">
        <f>StageFrame!A15</f>
        <v>11</v>
      </c>
      <c r="B15">
        <f>(StageFrame!B15-Transformations!$B$4)*Transformations!$B$12+(StageFrame!C15-Transformations!$B$5)*Transformations!$B$13</f>
        <v>-63.782806499410576</v>
      </c>
      <c r="C15">
        <f>-(StageFrame!B15-Transformations!$B$4)*Transformations!$B$13+(StageFrame!C15-Transformations!$B$5)*Transformations!$B$12</f>
        <v>-1.2757507262167171</v>
      </c>
      <c r="D15">
        <f>StageFrame!D15</f>
        <v>0.761531599496557</v>
      </c>
      <c r="E15">
        <f>(StageFrame!E15-Transformations!$C$4)*Transformations!$C$12+(StageFrame!F15-Transformations!$C$5)*Transformations!$C$13</f>
        <v>-63.78267755854324</v>
      </c>
      <c r="F15">
        <f>-(StageFrame!E15-Transformations!$C$4)*Transformations!$C$13+(StageFrame!F15-Transformations!$C$5)*Transformations!$C$12</f>
        <v>1.2758107022028733</v>
      </c>
      <c r="G15">
        <f>StageFrame!G15</f>
        <v>0.0225225464352091</v>
      </c>
    </row>
    <row r="16" spans="1:7" ht="10.5">
      <c r="A16">
        <f>StageFrame!A16</f>
        <v>12</v>
      </c>
      <c r="B16">
        <f>(StageFrame!B16-Transformations!$B$4)*Transformations!$B$12+(StageFrame!C16-Transformations!$B$5)*Transformations!$B$13</f>
        <v>-47.91080833412271</v>
      </c>
      <c r="C16">
        <f>-(StageFrame!B16-Transformations!$B$4)*Transformations!$B$13+(StageFrame!C16-Transformations!$B$5)*Transformations!$B$12</f>
        <v>-0.9583573898407879</v>
      </c>
      <c r="D16">
        <f>StageFrame!D16</f>
        <v>0.789603310157031</v>
      </c>
      <c r="E16">
        <f>(StageFrame!E16-Transformations!$C$4)*Transformations!$C$12+(StageFrame!F16-Transformations!$C$5)*Transformations!$C$13</f>
        <v>-47.91074142057422</v>
      </c>
      <c r="F16">
        <f>-(StageFrame!E16-Transformations!$C$4)*Transformations!$C$13+(StageFrame!F16-Transformations!$C$5)*Transformations!$C$12</f>
        <v>0.9582076710870765</v>
      </c>
      <c r="G16">
        <f>StageFrame!G16</f>
        <v>0.0572241091127144</v>
      </c>
    </row>
    <row r="17" spans="1:7" ht="10.5">
      <c r="A17">
        <f>StageFrame!A17</f>
        <v>13</v>
      </c>
      <c r="B17">
        <f>(StageFrame!B17-Transformations!$B$4)*Transformations!$B$12+(StageFrame!C17-Transformations!$B$5)*Transformations!$B$13</f>
        <v>-32.03897702359148</v>
      </c>
      <c r="C17">
        <f>-(StageFrame!B17-Transformations!$B$4)*Transformations!$B$13+(StageFrame!C17-Transformations!$B$5)*Transformations!$B$12</f>
        <v>-0.6408589554446946</v>
      </c>
      <c r="D17">
        <f>StageFrame!D17</f>
        <v>0.797292062834617</v>
      </c>
      <c r="E17">
        <f>(StageFrame!E17-Transformations!$C$4)*Transformations!$C$12+(StageFrame!F17-Transformations!$C$5)*Transformations!$C$13</f>
        <v>-32.03887835881517</v>
      </c>
      <c r="F17">
        <f>-(StageFrame!E17-Transformations!$C$4)*Transformations!$C$13+(StageFrame!F17-Transformations!$C$5)*Transformations!$C$12</f>
        <v>0.640803223644606</v>
      </c>
      <c r="G17">
        <f>StageFrame!G17</f>
        <v>0.0681250373471409</v>
      </c>
    </row>
    <row r="18" spans="1:7" ht="10.5">
      <c r="A18">
        <f>StageFrame!A18</f>
        <v>14</v>
      </c>
      <c r="B18">
        <f>(StageFrame!B18-Transformations!$B$4)*Transformations!$B$12+(StageFrame!C18-Transformations!$B$5)*Transformations!$B$13</f>
        <v>-16.167294746054946</v>
      </c>
      <c r="C18">
        <f>-(StageFrame!B18-Transformations!$B$4)*Transformations!$B$13+(StageFrame!C18-Transformations!$B$5)*Transformations!$B$12</f>
        <v>-0.32336013213653214</v>
      </c>
      <c r="D18">
        <f>StageFrame!D18</f>
        <v>0.798537195687727</v>
      </c>
      <c r="E18">
        <f>(StageFrame!E18-Transformations!$C$4)*Transformations!$C$12+(StageFrame!F18-Transformations!$C$5)*Transformations!$C$13</f>
        <v>-16.16696547646412</v>
      </c>
      <c r="F18">
        <f>-(StageFrame!E18-Transformations!$C$4)*Transformations!$C$13+(StageFrame!F18-Transformations!$C$5)*Transformations!$C$12</f>
        <v>0.3232977269677051</v>
      </c>
      <c r="G18">
        <f>StageFrame!G18</f>
        <v>0.0717669478260962</v>
      </c>
    </row>
    <row r="19" spans="1:7" ht="10.5">
      <c r="A19">
        <f>StageFrame!A19</f>
        <v>15</v>
      </c>
      <c r="B19">
        <f>(StageFrame!B19-Transformations!$B$4)*Transformations!$B$12+(StageFrame!C19-Transformations!$B$5)*Transformations!$B$13</f>
        <v>-0.2953844039571558</v>
      </c>
      <c r="C19">
        <f>-(StageFrame!B19-Transformations!$B$4)*Transformations!$B$13+(StageFrame!C19-Transformations!$B$5)*Transformations!$B$12</f>
        <v>-0.005951754838203725</v>
      </c>
      <c r="D19">
        <f>StageFrame!D19</f>
        <v>0.780898457263153</v>
      </c>
      <c r="E19">
        <f>(StageFrame!E19-Transformations!$C$4)*Transformations!$C$12+(StageFrame!F19-Transformations!$C$5)*Transformations!$C$13</f>
        <v>-0.2953184791143443</v>
      </c>
      <c r="F19">
        <f>-(StageFrame!E19-Transformations!$C$4)*Transformations!$C$13+(StageFrame!F19-Transformations!$C$5)*Transformations!$C$12</f>
        <v>0.005892959370275196</v>
      </c>
      <c r="G19">
        <f>StageFrame!G19</f>
        <v>0.0576461715763733</v>
      </c>
    </row>
    <row r="20" spans="1:7" ht="10.5">
      <c r="A20">
        <f>StageFrame!A20</f>
        <v>16</v>
      </c>
      <c r="B20">
        <f>(StageFrame!B20-Transformations!$B$4)*Transformations!$B$12+(StageFrame!C20-Transformations!$B$5)*Transformations!$B$13</f>
        <v>-64.09817965472594</v>
      </c>
      <c r="C20">
        <f>-(StageFrame!B20-Transformations!$B$4)*Transformations!$B$13+(StageFrame!C20-Transformations!$B$5)*Transformations!$B$12</f>
        <v>14.496981809178582</v>
      </c>
      <c r="D20">
        <f>StageFrame!D20</f>
        <v>0.755014411534321</v>
      </c>
      <c r="E20">
        <f>(StageFrame!E20-Transformations!$C$4)*Transformations!$C$12+(StageFrame!F20-Transformations!$C$5)*Transformations!$C$13</f>
        <v>-63.46714744926271</v>
      </c>
      <c r="F20">
        <f>-(StageFrame!E20-Transformations!$C$4)*Transformations!$C$13+(StageFrame!F20-Transformations!$C$5)*Transformations!$C$12</f>
        <v>17.047466976902708</v>
      </c>
      <c r="G20">
        <f>StageFrame!G20</f>
        <v>0.0159001925943784</v>
      </c>
    </row>
    <row r="21" spans="1:7" ht="10.5">
      <c r="A21">
        <f>StageFrame!A21</f>
        <v>17</v>
      </c>
      <c r="B21">
        <f>(StageFrame!B21-Transformations!$B$4)*Transformations!$B$12+(StageFrame!C21-Transformations!$B$5)*Transformations!$B$13</f>
        <v>-48.22628465778156</v>
      </c>
      <c r="C21">
        <f>-(StageFrame!B21-Transformations!$B$4)*Transformations!$B$13+(StageFrame!C21-Transformations!$B$5)*Transformations!$B$12</f>
        <v>14.814574108938709</v>
      </c>
      <c r="D21">
        <f>StageFrame!D21</f>
        <v>0.785008454970028</v>
      </c>
      <c r="E21">
        <f>(StageFrame!E21-Transformations!$C$4)*Transformations!$C$12+(StageFrame!F21-Transformations!$C$5)*Transformations!$C$13</f>
        <v>-47.59519334572014</v>
      </c>
      <c r="F21">
        <f>-(StageFrame!E21-Transformations!$C$4)*Transformations!$C$13+(StageFrame!F21-Transformations!$C$5)*Transformations!$C$12</f>
        <v>16.730069580307653</v>
      </c>
      <c r="G21">
        <f>StageFrame!G21</f>
        <v>0.0528496352461785</v>
      </c>
    </row>
    <row r="22" spans="1:7" ht="10.5">
      <c r="A22">
        <f>StageFrame!A22</f>
        <v>18</v>
      </c>
      <c r="B22">
        <f>(StageFrame!B22-Transformations!$B$4)*Transformations!$B$12+(StageFrame!C22-Transformations!$B$5)*Transformations!$B$13</f>
        <v>-32.35443134481829</v>
      </c>
      <c r="C22">
        <f>-(StageFrame!B22-Transformations!$B$4)*Transformations!$B$13+(StageFrame!C22-Transformations!$B$5)*Transformations!$B$12</f>
        <v>15.131971851040396</v>
      </c>
      <c r="D22">
        <f>StageFrame!D22</f>
        <v>0.798052871123505</v>
      </c>
      <c r="E22">
        <f>(StageFrame!E22-Transformations!$C$4)*Transformations!$C$12+(StageFrame!F22-Transformations!$C$5)*Transformations!$C$13</f>
        <v>-31.7234240475074</v>
      </c>
      <c r="F22">
        <f>-(StageFrame!E22-Transformations!$C$4)*Transformations!$C$13+(StageFrame!F22-Transformations!$C$5)*Transformations!$C$12</f>
        <v>16.412771915433517</v>
      </c>
      <c r="G22">
        <f>StageFrame!G22</f>
        <v>0.0684460410924238</v>
      </c>
    </row>
    <row r="23" spans="1:7" ht="10.5">
      <c r="A23">
        <f>StageFrame!A23</f>
        <v>19</v>
      </c>
      <c r="B23">
        <f>(StageFrame!B23-Transformations!$B$4)*Transformations!$B$12+(StageFrame!C23-Transformations!$B$5)*Transformations!$B$13</f>
        <v>-16.482651552430006</v>
      </c>
      <c r="C23">
        <f>-(StageFrame!B23-Transformations!$B$4)*Transformations!$B$13+(StageFrame!C23-Transformations!$B$5)*Transformations!$B$12</f>
        <v>15.449473136252484</v>
      </c>
      <c r="D23">
        <f>StageFrame!D23</f>
        <v>0.79846277503372</v>
      </c>
      <c r="E23">
        <f>(StageFrame!E23-Transformations!$C$4)*Transformations!$C$12+(StageFrame!F23-Transformations!$C$5)*Transformations!$C$13</f>
        <v>-15.851509122170874</v>
      </c>
      <c r="F23">
        <f>-(StageFrame!E23-Transformations!$C$4)*Transformations!$C$13+(StageFrame!F23-Transformations!$C$5)*Transformations!$C$12</f>
        <v>16.095172074840786</v>
      </c>
      <c r="G23">
        <f>StageFrame!G23</f>
        <v>0.073101570408907</v>
      </c>
    </row>
    <row r="24" spans="1:7" ht="10.5">
      <c r="A24">
        <f>StageFrame!A24</f>
        <v>20</v>
      </c>
      <c r="B24">
        <f>(StageFrame!B24-Transformations!$B$4)*Transformations!$B$12+(StageFrame!C24-Transformations!$B$5)*Transformations!$B$13</f>
        <v>-0.6108023914578107</v>
      </c>
      <c r="C24">
        <f>-(StageFrame!B24-Transformations!$B$4)*Transformations!$B$13+(StageFrame!C24-Transformations!$B$5)*Transformations!$B$12</f>
        <v>15.766876665558014</v>
      </c>
      <c r="D24">
        <f>StageFrame!D24</f>
        <v>0.794982079622232</v>
      </c>
      <c r="E24">
        <f>(StageFrame!E24-Transformations!$C$4)*Transformations!$C$12+(StageFrame!F24-Transformations!$C$5)*Transformations!$C$13</f>
        <v>0.020282004728733538</v>
      </c>
      <c r="F24">
        <f>-(StageFrame!E24-Transformations!$C$4)*Transformations!$C$13+(StageFrame!F24-Transformations!$C$5)*Transformations!$C$12</f>
        <v>15.777672907759701</v>
      </c>
      <c r="G24">
        <f>StageFrame!G24</f>
        <v>0.073385195374351</v>
      </c>
    </row>
    <row r="25" spans="1:7" ht="10.5">
      <c r="A25">
        <f>StageFrame!A25</f>
        <v>21</v>
      </c>
      <c r="B25">
        <f>(StageFrame!B25-Transformations!$B$4)*Transformations!$B$12+(StageFrame!C25-Transformations!$B$5)*Transformations!$B$13</f>
        <v>-64.4137892557409</v>
      </c>
      <c r="C25">
        <f>-(StageFrame!B25-Transformations!$B$4)*Transformations!$B$13+(StageFrame!C25-Transformations!$B$5)*Transformations!$B$12</f>
        <v>30.26991689273128</v>
      </c>
      <c r="D25">
        <f>StageFrame!D25</f>
        <v>0.736982252254788</v>
      </c>
      <c r="E25">
        <f>(StageFrame!E25-Transformations!$C$4)*Transformations!$C$12+(StageFrame!F25-Transformations!$C$5)*Transformations!$C$13</f>
        <v>-63.151754324724294</v>
      </c>
      <c r="F25">
        <f>-(StageFrame!E25-Transformations!$C$4)*Transformations!$C$13+(StageFrame!F25-Transformations!$C$5)*Transformations!$C$12</f>
        <v>32.819416577747475</v>
      </c>
      <c r="G25">
        <f>StageFrame!G25</f>
        <v>-0.00480267642318605</v>
      </c>
    </row>
    <row r="26" spans="1:7" ht="10.5">
      <c r="A26">
        <f>StageFrame!A26</f>
        <v>22</v>
      </c>
      <c r="B26">
        <f>(StageFrame!B26-Transformations!$B$4)*Transformations!$B$12+(StageFrame!C26-Transformations!$B$5)*Transformations!$B$13</f>
        <v>-48.541793463347524</v>
      </c>
      <c r="C26">
        <f>-(StageFrame!B26-Transformations!$B$4)*Transformations!$B$13+(StageFrame!C26-Transformations!$B$5)*Transformations!$B$12</f>
        <v>30.58740975903365</v>
      </c>
      <c r="D26">
        <f>StageFrame!D26</f>
        <v>0.768959432224328</v>
      </c>
      <c r="E26">
        <f>(StageFrame!E26-Transformations!$C$4)*Transformations!$C$12+(StageFrame!F26-Transformations!$C$5)*Transformations!$C$13</f>
        <v>-47.27988636816835</v>
      </c>
      <c r="F26">
        <f>-(StageFrame!E26-Transformations!$C$4)*Transformations!$C$13+(StageFrame!F26-Transformations!$C$5)*Transformations!$C$12</f>
        <v>32.50201993891096</v>
      </c>
      <c r="G26">
        <f>StageFrame!G26</f>
        <v>0.0335489582594551</v>
      </c>
    </row>
    <row r="27" spans="1:7" ht="10.5">
      <c r="A27">
        <f>StageFrame!A27</f>
        <v>23</v>
      </c>
      <c r="B27">
        <f>(StageFrame!B27-Transformations!$B$4)*Transformations!$B$12+(StageFrame!C27-Transformations!$B$5)*Transformations!$B$13</f>
        <v>-32.66992233216215</v>
      </c>
      <c r="C27">
        <f>-(StageFrame!B27-Transformations!$B$4)*Transformations!$B$13+(StageFrame!C27-Transformations!$B$5)*Transformations!$B$12</f>
        <v>30.904906043310934</v>
      </c>
      <c r="D27">
        <f>StageFrame!D27</f>
        <v>0.786795318653926</v>
      </c>
      <c r="E27">
        <f>(StageFrame!E27-Transformations!$C$4)*Transformations!$C$12+(StageFrame!F27-Transformations!$C$5)*Transformations!$C$13</f>
        <v>-31.408010255912426</v>
      </c>
      <c r="F27">
        <f>-(StageFrame!E27-Transformations!$C$4)*Transformations!$C$13+(StageFrame!F27-Transformations!$C$5)*Transformations!$C$12</f>
        <v>32.18462175170434</v>
      </c>
      <c r="G27">
        <f>StageFrame!G27</f>
        <v>0.0546705532552888</v>
      </c>
    </row>
    <row r="28" spans="1:7" ht="10.5">
      <c r="A28">
        <f>StageFrame!A28</f>
        <v>24</v>
      </c>
      <c r="B28">
        <f>(StageFrame!B28-Transformations!$B$4)*Transformations!$B$12+(StageFrame!C28-Transformations!$B$5)*Transformations!$B$13</f>
        <v>-16.798023552461938</v>
      </c>
      <c r="C28">
        <f>-(StageFrame!B28-Transformations!$B$4)*Transformations!$B$13+(StageFrame!C28-Transformations!$B$5)*Transformations!$B$12</f>
        <v>31.22230669905874</v>
      </c>
      <c r="D28">
        <f>StageFrame!D28</f>
        <v>0.793224951808823</v>
      </c>
      <c r="E28">
        <f>(StageFrame!E28-Transformations!$C$4)*Transformations!$C$12+(StageFrame!F28-Transformations!$C$5)*Transformations!$C$13</f>
        <v>-15.536176231975357</v>
      </c>
      <c r="F28">
        <f>-(StageFrame!E28-Transformations!$C$4)*Transformations!$C$13+(StageFrame!F28-Transformations!$C$5)*Transformations!$C$12</f>
        <v>31.867023088639943</v>
      </c>
      <c r="G28">
        <f>StageFrame!G28</f>
        <v>0.0661354172317423</v>
      </c>
    </row>
    <row r="29" spans="1:7" ht="10.5">
      <c r="A29">
        <f>StageFrame!A29</f>
        <v>25</v>
      </c>
      <c r="B29">
        <f>(StageFrame!B29-Transformations!$B$4)*Transformations!$B$12+(StageFrame!C29-Transformations!$B$5)*Transformations!$B$13</f>
        <v>-0.9262713309385185</v>
      </c>
      <c r="C29">
        <f>-(StageFrame!B29-Transformations!$B$4)*Transformations!$B$13+(StageFrame!C29-Transformations!$B$5)*Transformations!$B$12</f>
        <v>31.53980814560915</v>
      </c>
      <c r="D29">
        <f>StageFrame!D29</f>
        <v>0.792189845789895</v>
      </c>
      <c r="E29">
        <f>(StageFrame!E29-Transformations!$C$4)*Transformations!$C$12+(StageFrame!F29-Transformations!$C$5)*Transformations!$C$13</f>
        <v>0.33562971602385233</v>
      </c>
      <c r="F29">
        <f>-(StageFrame!E29-Transformations!$C$4)*Transformations!$C$13+(StageFrame!F29-Transformations!$C$5)*Transformations!$C$12</f>
        <v>31.549524019205258</v>
      </c>
      <c r="G29">
        <f>StageFrame!G29</f>
        <v>0.0700838076343606</v>
      </c>
    </row>
    <row r="30" spans="1:7" ht="10.5">
      <c r="A30" t="str">
        <f>StageFrame!A30</f>
        <v>RightSensor</v>
      </c>
      <c r="B30" t="str">
        <f>StageFrame!B30</f>
        <v>x</v>
      </c>
      <c r="C30" t="str">
        <f>StageFrame!C30</f>
        <v>y</v>
      </c>
      <c r="D30" t="str">
        <f>StageFrame!D30</f>
        <v>z</v>
      </c>
      <c r="E30" t="str">
        <f>StageFrame!E30</f>
        <v>x</v>
      </c>
      <c r="F30" t="str">
        <f>StageFrame!F30</f>
        <v>y</v>
      </c>
      <c r="G30" t="str">
        <f>StageFrame!G30</f>
        <v>z</v>
      </c>
    </row>
    <row r="31" spans="1:7" ht="10.5">
      <c r="A31">
        <f>StageFrame!A31</f>
        <v>1</v>
      </c>
      <c r="B31">
        <f>(StageFrame!B31-Transformations!$B$4)*Transformations!$B$12+(StageFrame!C31-Transformations!$B$5)*Transformations!$B$13</f>
        <v>0.9255457066028239</v>
      </c>
      <c r="C31">
        <f>-(StageFrame!B31-Transformations!$B$4)*Transformations!$B$13+(StageFrame!C31-Transformations!$B$5)*Transformations!$B$12</f>
        <v>-31.53976537955834</v>
      </c>
      <c r="D31">
        <f>StageFrame!D31</f>
        <v>0.790395010150665</v>
      </c>
      <c r="E31">
        <f>(StageFrame!E31-Transformations!$C$4)*Transformations!$C$12+(StageFrame!F31-Transformations!$C$5)*Transformations!$C$13</f>
        <v>-0.3361936857558773</v>
      </c>
      <c r="F31">
        <f>-(StageFrame!E31-Transformations!$C$4)*Transformations!$C$13+(StageFrame!F31-Transformations!$C$5)*Transformations!$C$12</f>
        <v>-31.54961118543774</v>
      </c>
      <c r="G31">
        <f>StageFrame!G31</f>
        <v>0.0689443755058901</v>
      </c>
    </row>
    <row r="32" spans="1:7" ht="10.5">
      <c r="A32">
        <f>StageFrame!A32</f>
        <v>2</v>
      </c>
      <c r="B32">
        <f>(StageFrame!B32-Transformations!$B$4)*Transformations!$B$12+(StageFrame!C32-Transformations!$B$5)*Transformations!$B$13</f>
        <v>16.800342972330707</v>
      </c>
      <c r="C32">
        <f>-(StageFrame!B32-Transformations!$B$4)*Transformations!$B$13+(StageFrame!C32-Transformations!$B$5)*Transformations!$B$12</f>
        <v>-31.22258260395461</v>
      </c>
      <c r="D32">
        <f>StageFrame!D32</f>
        <v>0.7928866038522651</v>
      </c>
      <c r="E32">
        <f>(StageFrame!E32-Transformations!$C$4)*Transformations!$C$12+(StageFrame!F32-Transformations!$C$5)*Transformations!$C$13</f>
        <v>15.538447843825978</v>
      </c>
      <c r="F32">
        <f>-(StageFrame!E32-Transformations!$C$4)*Transformations!$C$13+(StageFrame!F32-Transformations!$C$5)*Transformations!$C$12</f>
        <v>-31.86695609736633</v>
      </c>
      <c r="G32">
        <f>StageFrame!G32</f>
        <v>0.05949812988961675</v>
      </c>
    </row>
    <row r="33" spans="1:7" ht="10.5">
      <c r="A33">
        <f>StageFrame!A33</f>
        <v>3</v>
      </c>
      <c r="B33">
        <f>(StageFrame!B33-Transformations!$B$4)*Transformations!$B$12+(StageFrame!C33-Transformations!$B$5)*Transformations!$B$13</f>
        <v>32.66921307517788</v>
      </c>
      <c r="C33">
        <f>-(StageFrame!B33-Transformations!$B$4)*Transformations!$B$13+(StageFrame!C33-Transformations!$B$5)*Transformations!$B$12</f>
        <v>-30.904871767714358</v>
      </c>
      <c r="D33">
        <f>StageFrame!D33</f>
        <v>0.795378197553865</v>
      </c>
      <c r="E33">
        <f>(StageFrame!E33-Transformations!$C$4)*Transformations!$C$12+(StageFrame!F33-Transformations!$C$5)*Transformations!$C$13</f>
        <v>31.407269982697667</v>
      </c>
      <c r="F33">
        <f>-(StageFrame!E33-Transformations!$C$4)*Transformations!$C$13+(StageFrame!F33-Transformations!$C$5)*Transformations!$C$12</f>
        <v>-32.18442428325894</v>
      </c>
      <c r="G33">
        <f>StageFrame!G33</f>
        <v>0.0500518842733434</v>
      </c>
    </row>
    <row r="34" spans="1:7" ht="10.5">
      <c r="A34">
        <f>StageFrame!A34</f>
        <v>4</v>
      </c>
      <c r="B34">
        <f>(StageFrame!B34-Transformations!$B$4)*Transformations!$B$12+(StageFrame!C34-Transformations!$B$5)*Transformations!$B$13</f>
        <v>48.54100164435347</v>
      </c>
      <c r="C34">
        <f>-(StageFrame!B34-Transformations!$B$4)*Transformations!$B$13+(StageFrame!C34-Transformations!$B$5)*Transformations!$B$12</f>
        <v>-30.587269747830128</v>
      </c>
      <c r="D34">
        <f>StageFrame!D34</f>
        <v>0.781523166107317</v>
      </c>
      <c r="E34">
        <f>(StageFrame!E34-Transformations!$C$4)*Transformations!$C$12+(StageFrame!F34-Transformations!$C$5)*Transformations!$C$13</f>
        <v>47.279019089373435</v>
      </c>
      <c r="F34">
        <f>-(StageFrame!E34-Transformations!$C$4)*Transformations!$C$13+(StageFrame!F34-Transformations!$C$5)*Transformations!$C$12</f>
        <v>-32.501931683701606</v>
      </c>
      <c r="G34">
        <f>StageFrame!G34</f>
        <v>0.0324509873644867</v>
      </c>
    </row>
    <row r="35" spans="1:7" ht="10.5">
      <c r="A35">
        <f>StageFrame!A35</f>
        <v>5</v>
      </c>
      <c r="B35">
        <f>(StageFrame!B35-Transformations!$B$4)*Transformations!$B$12+(StageFrame!C35-Transformations!$B$5)*Transformations!$B$13</f>
        <v>64.4128041682969</v>
      </c>
      <c r="C35">
        <f>-(StageFrame!B35-Transformations!$B$4)*Transformations!$B$13+(StageFrame!C35-Transformations!$B$5)*Transformations!$B$12</f>
        <v>-30.269760453768118</v>
      </c>
      <c r="D35">
        <f>StageFrame!D35</f>
        <v>0.747567796328577</v>
      </c>
      <c r="E35">
        <f>(StageFrame!E35-Transformations!$C$4)*Transformations!$C$12+(StageFrame!F35-Transformations!$C$5)*Transformations!$C$13</f>
        <v>63.150840204098195</v>
      </c>
      <c r="F35">
        <f>-(StageFrame!E35-Transformations!$C$4)*Transformations!$C$13+(StageFrame!F35-Transformations!$C$5)*Transformations!$C$12</f>
        <v>-32.819441410379866</v>
      </c>
      <c r="G35">
        <f>StageFrame!G35</f>
        <v>-0.00514713427233598</v>
      </c>
    </row>
    <row r="36" spans="1:7" ht="10.5">
      <c r="A36">
        <f>StageFrame!A36</f>
        <v>6</v>
      </c>
      <c r="B36">
        <f>(StageFrame!B36-Transformations!$B$4)*Transformations!$B$12+(StageFrame!C36-Transformations!$B$5)*Transformations!$B$13</f>
        <v>0.61020309930421</v>
      </c>
      <c r="C36">
        <f>-(StageFrame!B36-Transformations!$B$4)*Transformations!$B$13+(StageFrame!C36-Transformations!$B$5)*Transformations!$B$12</f>
        <v>-15.76684092673437</v>
      </c>
      <c r="D36">
        <f>StageFrame!D36</f>
        <v>0.796521495318253</v>
      </c>
      <c r="E36">
        <f>(StageFrame!E36-Transformations!$C$4)*Transformations!$C$12+(StageFrame!F36-Transformations!$C$5)*Transformations!$C$13</f>
        <v>-0.020826109619933864</v>
      </c>
      <c r="F36">
        <f>-(StageFrame!E36-Transformations!$C$4)*Transformations!$C$13+(StageFrame!F36-Transformations!$C$5)*Transformations!$C$12</f>
        <v>-15.77775432472318</v>
      </c>
      <c r="G36">
        <f>StageFrame!G36</f>
        <v>0.0727123492194927</v>
      </c>
    </row>
    <row r="37" spans="1:7" ht="10.5">
      <c r="A37">
        <f>StageFrame!A37</f>
        <v>7</v>
      </c>
      <c r="B37">
        <f>(StageFrame!B37-Transformations!$B$4)*Transformations!$B$12+(StageFrame!C37-Transformations!$B$5)*Transformations!$B$13</f>
        <v>16.486329417075112</v>
      </c>
      <c r="C37">
        <f>-(StageFrame!B37-Transformations!$B$4)*Transformations!$B$13+(StageFrame!C37-Transformations!$B$5)*Transformations!$B$12</f>
        <v>-15.449913445505356</v>
      </c>
      <c r="D37">
        <f>StageFrame!D37</f>
        <v>0.8001590076797735</v>
      </c>
      <c r="E37">
        <f>(StageFrame!E37-Transformations!$C$4)*Transformations!$C$12+(StageFrame!F37-Transformations!$C$5)*Transformations!$C$13</f>
        <v>15.855240164960106</v>
      </c>
      <c r="F37">
        <f>-(StageFrame!E37-Transformations!$C$4)*Transformations!$C$13+(StageFrame!F37-Transformations!$C$5)*Transformations!$C$12</f>
        <v>-16.095067977542804</v>
      </c>
      <c r="G37">
        <f>StageFrame!G37</f>
        <v>0.0673688282395053</v>
      </c>
    </row>
    <row r="38" spans="1:7" ht="10.5">
      <c r="A38">
        <f>StageFrame!A38</f>
        <v>8</v>
      </c>
      <c r="B38">
        <f>(StageFrame!B38-Transformations!$B$4)*Transformations!$B$12+(StageFrame!C38-Transformations!$B$5)*Transformations!$B$13</f>
        <v>32.35385891940766</v>
      </c>
      <c r="C38">
        <f>-(StageFrame!B38-Transformations!$B$4)*Transformations!$B$13+(StageFrame!C38-Transformations!$B$5)*Transformations!$B$12</f>
        <v>-15.13184838164373</v>
      </c>
      <c r="D38">
        <f>StageFrame!D38</f>
        <v>0.803796520041294</v>
      </c>
      <c r="E38">
        <f>(StageFrame!E38-Transformations!$C$4)*Transformations!$C$12+(StageFrame!F38-Transformations!$C$5)*Transformations!$C$13</f>
        <v>31.722986572600846</v>
      </c>
      <c r="F38">
        <f>-(StageFrame!E38-Transformations!$C$4)*Transformations!$C$13+(StageFrame!F38-Transformations!$C$5)*Transformations!$C$12</f>
        <v>-16.41266967638403</v>
      </c>
      <c r="G38">
        <f>StageFrame!G38</f>
        <v>0.0620253072595179</v>
      </c>
    </row>
    <row r="39" spans="1:7" ht="10.5">
      <c r="A39">
        <f>StageFrame!A39</f>
        <v>9</v>
      </c>
      <c r="B39">
        <f>(StageFrame!B39-Transformations!$B$4)*Transformations!$B$12+(StageFrame!C39-Transformations!$B$5)*Transformations!$B$13</f>
        <v>48.22567512141082</v>
      </c>
      <c r="C39">
        <f>-(StageFrame!B39-Transformations!$B$4)*Transformations!$B$13+(StageFrame!C39-Transformations!$B$5)*Transformations!$B$12</f>
        <v>-14.814448032569544</v>
      </c>
      <c r="D39">
        <f>StageFrame!D39</f>
        <v>0.795462277436517</v>
      </c>
      <c r="E39">
        <f>(StageFrame!E39-Transformations!$C$4)*Transformations!$C$12+(StageFrame!F39-Transformations!$C$5)*Transformations!$C$13</f>
        <v>47.59453032677087</v>
      </c>
      <c r="F39">
        <f>-(StageFrame!E39-Transformations!$C$4)*Transformations!$C$13+(StageFrame!F39-Transformations!$C$5)*Transformations!$C$12</f>
        <v>-16.730075096976105</v>
      </c>
      <c r="G39">
        <f>StageFrame!G39</f>
        <v>0.0471854643692051</v>
      </c>
    </row>
    <row r="40" spans="1:7" ht="10.5">
      <c r="A40">
        <f>StageFrame!A40</f>
        <v>10</v>
      </c>
      <c r="B40">
        <f>(StageFrame!B40-Transformations!$B$4)*Transformations!$B$12+(StageFrame!C40-Transformations!$B$5)*Transformations!$B$13</f>
        <v>64.09738478241084</v>
      </c>
      <c r="C40">
        <f>-(StageFrame!B40-Transformations!$B$4)*Transformations!$B$13+(StageFrame!C40-Transformations!$B$5)*Transformations!$B$12</f>
        <v>-14.497040682792926</v>
      </c>
      <c r="D40">
        <f>StageFrame!D40</f>
        <v>0.763498213012746</v>
      </c>
      <c r="E40">
        <f>(StageFrame!E40-Transformations!$C$4)*Transformations!$C$12+(StageFrame!F40-Transformations!$C$5)*Transformations!$C$13</f>
        <v>63.46625280409201</v>
      </c>
      <c r="F40">
        <f>-(StageFrame!E40-Transformations!$C$4)*Transformations!$C$13+(StageFrame!F40-Transformations!$C$5)*Transformations!$C$12</f>
        <v>-17.04768392660442</v>
      </c>
      <c r="G40">
        <f>StageFrame!G40</f>
        <v>0.0103755520272636</v>
      </c>
    </row>
    <row r="41" spans="1:7" ht="10.5">
      <c r="A41">
        <f>StageFrame!A41</f>
        <v>11</v>
      </c>
      <c r="B41">
        <f>(StageFrame!B41-Transformations!$B$4)*Transformations!$B$12+(StageFrame!C41-Transformations!$B$5)*Transformations!$B$13</f>
        <v>0.29472257654556</v>
      </c>
      <c r="C41">
        <f>-(StageFrame!B41-Transformations!$B$4)*Transformations!$B$13+(StageFrame!C41-Transformations!$B$5)*Transformations!$B$12</f>
        <v>0.006022065033231618</v>
      </c>
      <c r="D41">
        <f>StageFrame!D41</f>
        <v>0.789496857748563</v>
      </c>
      <c r="E41">
        <f>(StageFrame!E41-Transformations!$C$4)*Transformations!$C$12+(StageFrame!F41-Transformations!$C$5)*Transformations!$C$13</f>
        <v>0.29471570935365904</v>
      </c>
      <c r="F41">
        <f>-(StageFrame!E41-Transformations!$C$4)*Transformations!$C$13+(StageFrame!F41-Transformations!$C$5)*Transformations!$C$12</f>
        <v>-0.005799016332283941</v>
      </c>
      <c r="G41">
        <f>StageFrame!G41</f>
        <v>0.0669935253056366</v>
      </c>
    </row>
    <row r="42" spans="1:7" ht="10.5">
      <c r="A42">
        <f>StageFrame!A42</f>
        <v>12</v>
      </c>
      <c r="B42">
        <f>(StageFrame!B42-Transformations!$B$4)*Transformations!$B$12+(StageFrame!C42-Transformations!$B$5)*Transformations!$B$13</f>
        <v>16.169526259168073</v>
      </c>
      <c r="C42">
        <f>-(StageFrame!B42-Transformations!$B$4)*Transformations!$B$13+(StageFrame!C42-Transformations!$B$5)*Transformations!$B$12</f>
        <v>0.3232060590248266</v>
      </c>
      <c r="D42">
        <f>StageFrame!D42</f>
        <v>0.7953339936064789</v>
      </c>
      <c r="E42">
        <f>(StageFrame!E42-Transformations!$C$4)*Transformations!$C$12+(StageFrame!F42-Transformations!$C$5)*Transformations!$C$13</f>
        <v>16.16922062922288</v>
      </c>
      <c r="F42">
        <f>-(StageFrame!E42-Transformations!$C$4)*Transformations!$C$13+(StageFrame!F42-Transformations!$C$5)*Transformations!$C$12</f>
        <v>-0.3233399590275907</v>
      </c>
      <c r="G42">
        <f>StageFrame!G42</f>
        <v>0.06462945187121485</v>
      </c>
    </row>
    <row r="43" spans="1:7" ht="10.5">
      <c r="A43">
        <f>StageFrame!A43</f>
        <v>13</v>
      </c>
      <c r="B43">
        <f>(StageFrame!B43-Transformations!$B$4)*Transformations!$B$12+(StageFrame!C43-Transformations!$B$5)*Transformations!$B$13</f>
        <v>32.03847548838434</v>
      </c>
      <c r="C43">
        <f>-(StageFrame!B43-Transformations!$B$4)*Transformations!$B$13+(StageFrame!C43-Transformations!$B$5)*Transformations!$B$12</f>
        <v>0.6409213775830069</v>
      </c>
      <c r="D43">
        <f>StageFrame!D43</f>
        <v>0.801171129464395</v>
      </c>
      <c r="E43">
        <f>(StageFrame!E43-Transformations!$C$4)*Transformations!$C$12+(StageFrame!F43-Transformations!$C$5)*Transformations!$C$13</f>
        <v>32.038270262413164</v>
      </c>
      <c r="F43">
        <f>-(StageFrame!E43-Transformations!$C$4)*Transformations!$C$13+(StageFrame!F43-Transformations!$C$5)*Transformations!$C$12</f>
        <v>-0.6409087506425272</v>
      </c>
      <c r="G43">
        <f>StageFrame!G43</f>
        <v>0.0622653784367931</v>
      </c>
    </row>
    <row r="44" spans="1:7" ht="10.5">
      <c r="A44">
        <f>StageFrame!A44</f>
        <v>14</v>
      </c>
      <c r="B44">
        <f>(StageFrame!B44-Transformations!$B$4)*Transformations!$B$12+(StageFrame!C44-Transformations!$B$5)*Transformations!$B$13</f>
        <v>47.9102022172562</v>
      </c>
      <c r="C44">
        <f>-(StageFrame!B44-Transformations!$B$4)*Transformations!$B$13+(StageFrame!C44-Transformations!$B$5)*Transformations!$B$12</f>
        <v>0.9584237893597624</v>
      </c>
      <c r="D44">
        <f>StageFrame!D44</f>
        <v>0.793855506457573</v>
      </c>
      <c r="E44">
        <f>(StageFrame!E44-Transformations!$C$4)*Transformations!$C$12+(StageFrame!F44-Transformations!$C$5)*Transformations!$C$13</f>
        <v>47.91010628195618</v>
      </c>
      <c r="F44">
        <f>-(StageFrame!E44-Transformations!$C$4)*Transformations!$C$13+(StageFrame!F44-Transformations!$C$5)*Transformations!$C$12</f>
        <v>-0.9582150123052416</v>
      </c>
      <c r="G44">
        <f>StageFrame!G44</f>
        <v>0.0493196182821177</v>
      </c>
    </row>
    <row r="45" spans="1:7" ht="10.5">
      <c r="A45">
        <f>StageFrame!A45</f>
        <v>15</v>
      </c>
      <c r="B45">
        <f>(StageFrame!B45-Transformations!$B$4)*Transformations!$B$12+(StageFrame!C45-Transformations!$B$5)*Transformations!$B$13</f>
        <v>63.782015399321814</v>
      </c>
      <c r="C45">
        <f>-(StageFrame!B45-Transformations!$B$4)*Transformations!$B$13+(StageFrame!C45-Transformations!$B$5)*Transformations!$B$12</f>
        <v>1.275935426811267</v>
      </c>
      <c r="D45">
        <f>StageFrame!D45</f>
        <v>0.763533168721195</v>
      </c>
      <c r="E45">
        <f>(StageFrame!E45-Transformations!$C$4)*Transformations!$C$12+(StageFrame!F45-Transformations!$C$5)*Transformations!$C$13</f>
        <v>63.78173622646484</v>
      </c>
      <c r="F45">
        <f>-(StageFrame!E45-Transformations!$C$4)*Transformations!$C$13+(StageFrame!F45-Transformations!$C$5)*Transformations!$C$12</f>
        <v>-1.2758213642179166</v>
      </c>
      <c r="G45">
        <f>StageFrame!G45</f>
        <v>0.0151690723521093</v>
      </c>
    </row>
    <row r="46" spans="1:7" ht="10.5">
      <c r="A46">
        <f>StageFrame!A46</f>
        <v>16</v>
      </c>
      <c r="B46">
        <f>(StageFrame!B46-Transformations!$B$4)*Transformations!$B$12+(StageFrame!C46-Transformations!$B$5)*Transformations!$B$13</f>
        <v>-0.020630087828865495</v>
      </c>
      <c r="C46">
        <f>-(StageFrame!B46-Transformations!$B$4)*Transformations!$B$13+(StageFrame!C46-Transformations!$B$5)*Transformations!$B$12</f>
        <v>15.778955365351157</v>
      </c>
      <c r="D46">
        <f>StageFrame!D46</f>
        <v>0.792242820105612</v>
      </c>
      <c r="E46">
        <f>(StageFrame!E46-Transformations!$C$4)*Transformations!$C$12+(StageFrame!F46-Transformations!$C$5)*Transformations!$C$13</f>
        <v>0.6100869028976863</v>
      </c>
      <c r="F46">
        <f>-(StageFrame!E46-Transformations!$C$4)*Transformations!$C$13+(StageFrame!F46-Transformations!$C$5)*Transformations!$C$12</f>
        <v>15.765882203631442</v>
      </c>
      <c r="G46">
        <f>StageFrame!G46</f>
        <v>0.0725821939554841</v>
      </c>
    </row>
    <row r="47" spans="1:7" ht="10.5">
      <c r="A47">
        <f>StageFrame!A47</f>
        <v>17</v>
      </c>
      <c r="B47">
        <f>(StageFrame!B47-Transformations!$B$4)*Transformations!$B$12+(StageFrame!C47-Transformations!$B$5)*Transformations!$B$13</f>
        <v>15.855495348854996</v>
      </c>
      <c r="C47">
        <f>-(StageFrame!B47-Transformations!$B$4)*Transformations!$B$13+(StageFrame!C47-Transformations!$B$5)*Transformations!$B$12</f>
        <v>16.095885832102898</v>
      </c>
      <c r="D47">
        <f>StageFrame!D47</f>
        <v>0.7952527693452975</v>
      </c>
      <c r="E47">
        <f>(StageFrame!E47-Transformations!$C$4)*Transformations!$C$12+(StageFrame!F47-Transformations!$C$5)*Transformations!$C$13</f>
        <v>16.486028992721216</v>
      </c>
      <c r="F47">
        <f>-(StageFrame!E47-Transformations!$C$4)*Transformations!$C$13+(StageFrame!F47-Transformations!$C$5)*Transformations!$C$12</f>
        <v>15.448675248723136</v>
      </c>
      <c r="G47">
        <f>StageFrame!G47</f>
        <v>0.06967366841213316</v>
      </c>
    </row>
    <row r="48" spans="1:7" ht="10.5">
      <c r="A48">
        <f>StageFrame!A48</f>
        <v>18</v>
      </c>
      <c r="B48">
        <f>(StageFrame!B48-Transformations!$B$4)*Transformations!$B$12+(StageFrame!C48-Transformations!$B$5)*Transformations!$B$13</f>
        <v>31.722990371716413</v>
      </c>
      <c r="C48">
        <f>-(StageFrame!B48-Transformations!$B$4)*Transformations!$B$13+(StageFrame!C48-Transformations!$B$5)*Transformations!$B$12</f>
        <v>16.413756850014536</v>
      </c>
      <c r="D48">
        <f>StageFrame!D48</f>
        <v>0.798262718584983</v>
      </c>
      <c r="E48">
        <f>(StageFrame!E48-Transformations!$C$4)*Transformations!$C$12+(StageFrame!F48-Transformations!$C$5)*Transformations!$C$13</f>
        <v>32.35386703592832</v>
      </c>
      <c r="F48">
        <f>-(StageFrame!E48-Transformations!$C$4)*Transformations!$C$13+(StageFrame!F48-Transformations!$C$5)*Transformations!$C$12</f>
        <v>15.130981648372666</v>
      </c>
      <c r="G48">
        <f>StageFrame!G48</f>
        <v>0.0667651428687822</v>
      </c>
    </row>
    <row r="49" spans="1:7" ht="10.5">
      <c r="A49">
        <f>StageFrame!A49</f>
        <v>19</v>
      </c>
      <c r="B49">
        <f>(StageFrame!B49-Transformations!$B$4)*Transformations!$B$12+(StageFrame!C49-Transformations!$B$5)*Transformations!$B$13</f>
        <v>47.59481254799315</v>
      </c>
      <c r="C49">
        <f>-(StageFrame!B49-Transformations!$B$4)*Transformations!$B$13+(StageFrame!C49-Transformations!$B$5)*Transformations!$B$12</f>
        <v>16.73116314973404</v>
      </c>
      <c r="D49">
        <f>StageFrame!D49</f>
        <v>0.785975035142963</v>
      </c>
      <c r="E49">
        <f>(StageFrame!E49-Transformations!$C$4)*Transformations!$C$12+(StageFrame!F49-Transformations!$C$5)*Transformations!$C$13</f>
        <v>48.22547707261362</v>
      </c>
      <c r="F49">
        <f>-(StageFrame!E49-Transformations!$C$4)*Transformations!$C$13+(StageFrame!F49-Transformations!$C$5)*Transformations!$C$12</f>
        <v>14.813482559017016</v>
      </c>
      <c r="G49">
        <f>StageFrame!G49</f>
        <v>0.0501078160087366</v>
      </c>
    </row>
    <row r="50" spans="1:7" ht="10.5">
      <c r="A50">
        <f>StageFrame!A50</f>
        <v>20</v>
      </c>
      <c r="B50">
        <f>(StageFrame!B50-Transformations!$B$4)*Transformations!$B$12+(StageFrame!C50-Transformations!$B$5)*Transformations!$B$13</f>
        <v>63.46651539239153</v>
      </c>
      <c r="C50">
        <f>-(StageFrame!B50-Transformations!$B$4)*Transformations!$B$13+(StageFrame!C50-Transformations!$B$5)*Transformations!$B$12</f>
        <v>17.048675559612697</v>
      </c>
      <c r="D50">
        <f>StageFrame!D50</f>
        <v>0.752146352696953</v>
      </c>
      <c r="E50">
        <f>(StageFrame!E50-Transformations!$C$4)*Transformations!$C$12+(StageFrame!F50-Transformations!$C$5)*Transformations!$C$13</f>
        <v>64.09720148752182</v>
      </c>
      <c r="F50">
        <f>-(StageFrame!E50-Transformations!$C$4)*Transformations!$C$13+(StageFrame!F50-Transformations!$C$5)*Transformations!$C$12</f>
        <v>14.49618075411195</v>
      </c>
      <c r="G50">
        <f>StageFrame!G50</f>
        <v>0.0130623337581677</v>
      </c>
    </row>
    <row r="51" spans="1:7" ht="10.5">
      <c r="A51">
        <f>StageFrame!A51</f>
        <v>21</v>
      </c>
      <c r="B51">
        <f>(StageFrame!B51-Transformations!$B$4)*Transformations!$B$12+(StageFrame!C51-Transformations!$B$5)*Transformations!$B$13</f>
        <v>-0.3361960586246079</v>
      </c>
      <c r="C51">
        <f>-(StageFrame!B51-Transformations!$B$4)*Transformations!$B$13+(StageFrame!C51-Transformations!$B$5)*Transformations!$B$12</f>
        <v>31.55168554578235</v>
      </c>
      <c r="D51">
        <f>StageFrame!D51</f>
        <v>0.789594623833693</v>
      </c>
      <c r="E51">
        <f>(StageFrame!E51-Transformations!$C$4)*Transformations!$C$12+(StageFrame!F51-Transformations!$C$5)*Transformations!$C$13</f>
        <v>0.9255405230072519</v>
      </c>
      <c r="F51">
        <f>-(StageFrame!E51-Transformations!$C$4)*Transformations!$C$13+(StageFrame!F51-Transformations!$C$5)*Transformations!$C$12</f>
        <v>31.537732596683853</v>
      </c>
      <c r="G51">
        <f>StageFrame!G51</f>
        <v>0.0713905065319661</v>
      </c>
    </row>
    <row r="52" spans="1:7" ht="10.5">
      <c r="A52">
        <f>StageFrame!A52</f>
        <v>22</v>
      </c>
      <c r="B52">
        <f>(StageFrame!B52-Transformations!$B$4)*Transformations!$B$12+(StageFrame!C52-Transformations!$B$5)*Transformations!$B$13</f>
        <v>15.538530467688247</v>
      </c>
      <c r="C52">
        <f>-(StageFrame!B52-Transformations!$B$4)*Transformations!$B$13+(StageFrame!C52-Transformations!$B$5)*Transformations!$B$12</f>
        <v>31.868977024855475</v>
      </c>
      <c r="D52">
        <f>StageFrame!D52</f>
        <v>0.78435067107159</v>
      </c>
      <c r="E52">
        <f>(StageFrame!E52-Transformations!$C$4)*Transformations!$C$12+(StageFrame!F52-Transformations!$C$5)*Transformations!$C$13</f>
        <v>16.800096782676974</v>
      </c>
      <c r="F52">
        <f>-(StageFrame!E52-Transformations!$C$4)*Transformations!$C$13+(StageFrame!F52-Transformations!$C$5)*Transformations!$C$12</f>
        <v>31.220294567442313</v>
      </c>
      <c r="G52">
        <f>StageFrame!G52</f>
        <v>0.0672456251129451</v>
      </c>
    </row>
    <row r="53" spans="1:7" ht="10.5">
      <c r="A53">
        <f>StageFrame!A53</f>
        <v>23</v>
      </c>
      <c r="B53">
        <f>(StageFrame!B53-Transformations!$B$4)*Transformations!$B$12+(StageFrame!C53-Transformations!$B$5)*Transformations!$B$13</f>
        <v>31.40745617788914</v>
      </c>
      <c r="C53">
        <f>-(StageFrame!B53-Transformations!$B$4)*Transformations!$B$13+(StageFrame!C53-Transformations!$B$5)*Transformations!$B$12</f>
        <v>32.18669328610534</v>
      </c>
      <c r="D53">
        <f>StageFrame!D53</f>
        <v>0.779106718309487</v>
      </c>
      <c r="E53">
        <f>(StageFrame!E53-Transformations!$C$4)*Transformations!$C$12+(StageFrame!F53-Transformations!$C$5)*Transformations!$C$13</f>
        <v>32.66924140253971</v>
      </c>
      <c r="F53">
        <f>-(StageFrame!E53-Transformations!$C$4)*Transformations!$C$13+(StageFrame!F53-Transformations!$C$5)*Transformations!$C$12</f>
        <v>30.902932317986338</v>
      </c>
      <c r="G53">
        <f>StageFrame!G53</f>
        <v>0.0631007436939241</v>
      </c>
    </row>
    <row r="54" spans="1:7" ht="10.5">
      <c r="A54">
        <f>StageFrame!A54</f>
        <v>24</v>
      </c>
      <c r="B54">
        <f>(StageFrame!B54-Transformations!$B$4)*Transformations!$B$12+(StageFrame!C54-Transformations!$B$5)*Transformations!$B$13</f>
        <v>47.27917143715493</v>
      </c>
      <c r="C54">
        <f>-(StageFrame!B54-Transformations!$B$4)*Transformations!$B$13+(StageFrame!C54-Transformations!$B$5)*Transformations!$B$12</f>
        <v>32.5041999798442</v>
      </c>
      <c r="D54">
        <f>StageFrame!D54</f>
        <v>0.761898294129112</v>
      </c>
      <c r="E54">
        <f>(StageFrame!E54-Transformations!$C$4)*Transformations!$C$12+(StageFrame!F54-Transformations!$C$5)*Transformations!$C$13</f>
        <v>48.54092389859155</v>
      </c>
      <c r="F54">
        <f>-(StageFrame!E54-Transformations!$C$4)*Transformations!$C$13+(StageFrame!F54-Transformations!$C$5)*Transformations!$C$12</f>
        <v>30.585432106622353</v>
      </c>
      <c r="G54">
        <f>StageFrame!G54</f>
        <v>0.0415831159569139</v>
      </c>
    </row>
    <row r="55" spans="1:7" ht="10.5">
      <c r="A55">
        <f>StageFrame!A55</f>
        <v>25</v>
      </c>
      <c r="B55">
        <f>(StageFrame!B55-Transformations!$B$4)*Transformations!$B$12+(StageFrame!C55-Transformations!$B$5)*Transformations!$B$13</f>
        <v>63.150871171380075</v>
      </c>
      <c r="C55">
        <f>-(StageFrame!B55-Transformations!$B$4)*Transformations!$B$13+(StageFrame!C55-Transformations!$B$5)*Transformations!$B$12</f>
        <v>32.82161286572926</v>
      </c>
      <c r="D55">
        <f>StageFrame!D55</f>
        <v>0.726583736814997</v>
      </c>
      <c r="E55">
        <f>(StageFrame!E55-Transformations!$C$4)*Transformations!$C$12+(StageFrame!F55-Transformations!$C$5)*Transformations!$C$13</f>
        <v>64.4127405353783</v>
      </c>
      <c r="F55">
        <f>-(StageFrame!E55-Transformations!$C$4)*Transformations!$C$13+(StageFrame!F55-Transformations!$C$5)*Transformations!$C$12</f>
        <v>30.268029216165814</v>
      </c>
      <c r="G55">
        <f>StageFrame!G55</f>
        <v>0.00206500440033278</v>
      </c>
    </row>
    <row r="56" spans="1:7" ht="10.5">
      <c r="A56" t="str">
        <f>StageFrame!A56</f>
        <v>Facings</v>
      </c>
      <c r="B56" t="str">
        <f>StageFrame!B56</f>
        <v>x</v>
      </c>
      <c r="C56" t="str">
        <f>StageFrame!C56</f>
        <v>y</v>
      </c>
      <c r="D56" t="str">
        <f>StageFrame!D56</f>
        <v>z</v>
      </c>
      <c r="E56" t="str">
        <f>StageFrame!E56</f>
        <v>x</v>
      </c>
      <c r="F56" t="str">
        <f>StageFrame!F56</f>
        <v>y</v>
      </c>
      <c r="G56" t="str">
        <f>StageFrame!G56</f>
        <v>z</v>
      </c>
    </row>
    <row r="57" spans="1:7" ht="10.5">
      <c r="A57">
        <f>StageFrame!A57</f>
        <v>1</v>
      </c>
      <c r="B57">
        <f>(StageFrame!B57-Transformations!$B$4)*Transformations!$B$12+(StageFrame!C57-Transformations!$B$5)*Transformations!$B$13</f>
        <v>-6.500779753532772</v>
      </c>
      <c r="C57">
        <f>-(StageFrame!B57-Transformations!$B$4)*Transformations!$B$13+(StageFrame!C57-Transformations!$B$5)*Transformations!$B$12</f>
        <v>-37.00191386762457</v>
      </c>
      <c r="D57">
        <f>StageFrame!D57</f>
        <v>0.7018206634754468</v>
      </c>
      <c r="E57">
        <f>(StageFrame!E57-Transformations!$C$4)*Transformations!$C$12+(StageFrame!F57-Transformations!$C$5)*Transformations!$C$13</f>
        <v>-6.500426477198902</v>
      </c>
      <c r="F57">
        <f>-(StageFrame!E57-Transformations!$C$4)*Transformations!$C$13+(StageFrame!F57-Transformations!$C$5)*Transformations!$C$12</f>
        <v>-37.00005097257646</v>
      </c>
      <c r="G57">
        <f>StageFrame!G57</f>
        <v>-0.04403918933992687</v>
      </c>
    </row>
    <row r="58" spans="1:7" ht="10.5">
      <c r="A58">
        <f>StageFrame!A58</f>
        <v>2</v>
      </c>
      <c r="B58">
        <f>(StageFrame!B58-Transformations!$B$4)*Transformations!$B$12+(StageFrame!C58-Transformations!$B$5)*Transformations!$B$13</f>
        <v>38.499165996394744</v>
      </c>
      <c r="C58">
        <f>-(StageFrame!B58-Transformations!$B$4)*Transformations!$B$13+(StageFrame!C58-Transformations!$B$5)*Transformations!$B$12</f>
        <v>-37.25181991674809</v>
      </c>
      <c r="D58">
        <f>StageFrame!D58</f>
        <v>0.6795604323699467</v>
      </c>
      <c r="E58">
        <f>(StageFrame!E58-Transformations!$C$4)*Transformations!$C$12+(StageFrame!F58-Transformations!$C$5)*Transformations!$C$13</f>
        <v>38.49955127498698</v>
      </c>
      <c r="F58">
        <f>-(StageFrame!E58-Transformations!$C$4)*Transformations!$C$13+(StageFrame!F58-Transformations!$C$5)*Transformations!$C$12</f>
        <v>-37.24995370280063</v>
      </c>
      <c r="G58">
        <f>StageFrame!G58</f>
        <v>-0.03637847492324928</v>
      </c>
    </row>
    <row r="59" spans="1:7" ht="10.5">
      <c r="A59">
        <f>StageFrame!A59</f>
        <v>3</v>
      </c>
      <c r="B59">
        <f>(StageFrame!B59-Transformations!$B$4)*Transformations!$B$12+(StageFrame!C59-Transformations!$B$5)*Transformations!$B$13</f>
        <v>-0.0012224925794426245</v>
      </c>
      <c r="C59">
        <f>-(StageFrame!B59-Transformations!$B$4)*Transformations!$B$13+(StageFrame!C59-Transformations!$B$5)*Transformations!$B$12</f>
        <v>35.514715567122465</v>
      </c>
      <c r="D59">
        <f>StageFrame!D59</f>
        <v>0.6874388661213816</v>
      </c>
      <c r="E59">
        <f>(StageFrame!E59-Transformations!$C$4)*Transformations!$C$12+(StageFrame!F59-Transformations!$C$5)*Transformations!$C$13</f>
        <v>-0.0009447652452018174</v>
      </c>
      <c r="F59">
        <f>-(StageFrame!E59-Transformations!$C$4)*Transformations!$C$13+(StageFrame!F59-Transformations!$C$5)*Transformations!$C$12</f>
        <v>35.51658591874565</v>
      </c>
      <c r="G59">
        <f>StageFrame!G59</f>
        <v>-0.03852279121703276</v>
      </c>
    </row>
    <row r="60" spans="1:7" ht="10.5">
      <c r="A60" t="str">
        <f>StageFrame!A60</f>
        <v>facingPlane</v>
      </c>
      <c r="B60" t="str">
        <f>StageFrame!B60</f>
        <v>x</v>
      </c>
      <c r="C60" t="str">
        <f>StageFrame!C60</f>
        <v>y</v>
      </c>
      <c r="D60" t="str">
        <f>StageFrame!D60</f>
        <v>z</v>
      </c>
      <c r="E60" t="str">
        <f>StageFrame!E60</f>
        <v>x</v>
      </c>
      <c r="F60" t="str">
        <f>StageFrame!F60</f>
        <v>y</v>
      </c>
      <c r="G60" t="str">
        <f>StageFrame!G60</f>
        <v>z</v>
      </c>
    </row>
    <row r="61" spans="1:7" ht="10.5">
      <c r="A61">
        <f>StageFrame!A61</f>
        <v>1</v>
      </c>
      <c r="B61">
        <f>(StageFrame!B61-Transformations!$B$4)*Transformations!$B$12+(StageFrame!C61-Transformations!$B$5)*Transformations!$B$13</f>
        <v>-6.500779740752685</v>
      </c>
      <c r="C61">
        <f>-(StageFrame!B61-Transformations!$B$4)*Transformations!$B$13+(StageFrame!C61-Transformations!$B$5)*Transformations!$B$12</f>
        <v>-34.00196355060312</v>
      </c>
      <c r="D61">
        <f>StageFrame!D61</f>
        <v>0.7049995112830515</v>
      </c>
      <c r="E61">
        <f>(StageFrame!E61-Transformations!$C$4)*Transformations!$C$12+(StageFrame!F61-Transformations!$C$5)*Transformations!$C$13</f>
        <v>-6.5003797615292465</v>
      </c>
      <c r="F61">
        <f>-(StageFrame!E61-Transformations!$C$4)*Transformations!$C$13+(StageFrame!F61-Transformations!$C$5)*Transformations!$C$12</f>
        <v>-34.000094855981146</v>
      </c>
      <c r="G61">
        <f>StageFrame!G61</f>
        <v>-0.048450737226116744</v>
      </c>
    </row>
    <row r="62" spans="1:7" ht="10.5">
      <c r="A62">
        <f>StageFrame!A62</f>
        <v>2</v>
      </c>
      <c r="B62">
        <f>(StageFrame!B62-Transformations!$B$4)*Transformations!$B$12+(StageFrame!C62-Transformations!$B$5)*Transformations!$B$13</f>
        <v>-6.500779766312858</v>
      </c>
      <c r="C62">
        <f>-(StageFrame!B62-Transformations!$B$4)*Transformations!$B$13+(StageFrame!C62-Transformations!$B$5)*Transformations!$B$12</f>
        <v>-40.00186418464602</v>
      </c>
      <c r="D62">
        <f>StageFrame!D62</f>
        <v>0.698641815667842</v>
      </c>
      <c r="E62">
        <f>(StageFrame!E62-Transformations!$C$4)*Transformations!$C$12+(StageFrame!F62-Transformations!$C$5)*Transformations!$C$13</f>
        <v>-6.500473192868559</v>
      </c>
      <c r="F62">
        <f>-(StageFrame!E62-Transformations!$C$4)*Transformations!$C$13+(StageFrame!F62-Transformations!$C$5)*Transformations!$C$12</f>
        <v>-40.00000708917177</v>
      </c>
      <c r="G62">
        <f>StageFrame!G62</f>
        <v>-0.039627641453737</v>
      </c>
    </row>
    <row r="63" spans="1:7" ht="10.5">
      <c r="A63">
        <f>StageFrame!A63</f>
        <v>3</v>
      </c>
      <c r="B63">
        <f>(StageFrame!B63-Transformations!$B$4)*Transformations!$B$12+(StageFrame!C63-Transformations!$B$5)*Transformations!$B$13</f>
        <v>-4.251399747197272</v>
      </c>
      <c r="C63">
        <f>-(StageFrame!B63-Transformations!$B$4)*Transformations!$B$13+(StageFrame!C63-Transformations!$B$5)*Transformations!$B$12</f>
        <v>-47.55185433806013</v>
      </c>
      <c r="D63">
        <f>StageFrame!D63</f>
        <v>0.6797510119082645</v>
      </c>
      <c r="E63">
        <f>(StageFrame!E63-Transformations!$C$4)*Transformations!$C$12+(StageFrame!F63-Transformations!$C$5)*Transformations!$C$13</f>
        <v>-3.977070455190086</v>
      </c>
      <c r="F63">
        <f>-(StageFrame!E63-Transformations!$C$4)*Transformations!$C$13+(StageFrame!F63-Transformations!$C$5)*Transformations!$C$12</f>
        <v>-47.555550822847465</v>
      </c>
      <c r="G63">
        <f>StageFrame!G63</f>
        <v>-0.0202695535313724</v>
      </c>
    </row>
    <row r="64" spans="1:7" ht="10.5">
      <c r="A64">
        <f>StageFrame!A64</f>
        <v>4</v>
      </c>
      <c r="B64">
        <f>(StageFrame!B64-Transformations!$B$4)*Transformations!$B$12+(StageFrame!C64-Transformations!$B$5)*Transformations!$B$13</f>
        <v>38.49913199691213</v>
      </c>
      <c r="C64">
        <f>-(StageFrame!B64-Transformations!$B$4)*Transformations!$B$13+(StageFrame!C64-Transformations!$B$5)*Transformations!$B$12</f>
        <v>-34.50178406166571</v>
      </c>
      <c r="D64">
        <f>StageFrame!D64</f>
        <v>0.6808502657531175</v>
      </c>
      <c r="E64">
        <f>(StageFrame!E64-Transformations!$C$4)*Transformations!$C$12+(StageFrame!F64-Transformations!$C$5)*Transformations!$C$13</f>
        <v>38.49956475601759</v>
      </c>
      <c r="F64">
        <f>-(StageFrame!E64-Transformations!$C$4)*Transformations!$C$13+(StageFrame!F64-Transformations!$C$5)*Transformations!$C$12</f>
        <v>-34.49996006355233</v>
      </c>
      <c r="G64">
        <f>StageFrame!G64</f>
        <v>-0.03713381018514545</v>
      </c>
    </row>
    <row r="65" spans="1:7" ht="10.5">
      <c r="A65">
        <f>StageFrame!A65</f>
        <v>5</v>
      </c>
      <c r="B65">
        <f>(StageFrame!B65-Transformations!$B$4)*Transformations!$B$12+(StageFrame!C65-Transformations!$B$5)*Transformations!$B$13</f>
        <v>38.49919999587733</v>
      </c>
      <c r="C65">
        <f>-(StageFrame!B65-Transformations!$B$4)*Transformations!$B$13+(StageFrame!C65-Transformations!$B$5)*Transformations!$B$12</f>
        <v>-40.001855771830456</v>
      </c>
      <c r="D65">
        <f>StageFrame!D65</f>
        <v>0.678270598986776</v>
      </c>
      <c r="E65">
        <f>(StageFrame!E65-Transformations!$C$4)*Transformations!$C$12+(StageFrame!F65-Transformations!$C$5)*Transformations!$C$13</f>
        <v>38.49953779395636</v>
      </c>
      <c r="F65">
        <f>-(StageFrame!E65-Transformations!$C$4)*Transformations!$C$13+(StageFrame!F65-Transformations!$C$5)*Transformations!$C$12</f>
        <v>-39.99994734204893</v>
      </c>
      <c r="G65">
        <f>StageFrame!G65</f>
        <v>-0.035623139661353095</v>
      </c>
    </row>
    <row r="66" spans="1:7" ht="10.5">
      <c r="A66">
        <f>StageFrame!A66</f>
        <v>6</v>
      </c>
      <c r="B66">
        <f>(StageFrame!B66-Transformations!$B$4)*Transformations!$B$12+(StageFrame!C66-Transformations!$B$5)*Transformations!$B$13</f>
        <v>34.74965744567183</v>
      </c>
      <c r="C66">
        <f>-(StageFrame!B66-Transformations!$B$4)*Transformations!$B$13+(StageFrame!C66-Transformations!$B$5)*Transformations!$B$12</f>
        <v>-47.45185643669752</v>
      </c>
      <c r="D66">
        <f>StageFrame!D66</f>
        <v>0.6765964615316955</v>
      </c>
      <c r="E66">
        <f>(StageFrame!E66-Transformations!$C$4)*Transformations!$C$12+(StageFrame!F66-Transformations!$C$5)*Transformations!$C$13</f>
        <v>34.529229941356704</v>
      </c>
      <c r="F66">
        <f>-(StageFrame!E66-Transformations!$C$4)*Transformations!$C$13+(StageFrame!F66-Transformations!$C$5)*Transformations!$C$12</f>
        <v>-47.445593858529705</v>
      </c>
      <c r="G66">
        <f>StageFrame!G66</f>
        <v>-0.0298588042701039</v>
      </c>
    </row>
    <row r="67" spans="1:4" ht="10.5">
      <c r="A67">
        <f>StageFrame!A67</f>
        <v>7</v>
      </c>
      <c r="B67">
        <f>(StageFrame!B67-Transformations!$B$4)*Transformations!$B$12+(StageFrame!C67-Transformations!$B$5)*Transformations!$B$13</f>
        <v>14.49916628741753</v>
      </c>
      <c r="C67">
        <f>-(StageFrame!B67-Transformations!$B$4)*Transformations!$B$13+(StageFrame!C67-Transformations!$B$5)*Transformations!$B$12</f>
        <v>-40.001862868605336</v>
      </c>
      <c r="D67">
        <f>StageFrame!D67</f>
        <v>0.685492205682721</v>
      </c>
    </row>
    <row r="68" spans="1:4" ht="10.5">
      <c r="A68">
        <f>StageFrame!A68</f>
        <v>8</v>
      </c>
      <c r="B68">
        <f>(StageFrame!B68-Transformations!$B$4)*Transformations!$B$12+(StageFrame!C68-Transformations!$B$5)*Transformations!$B$13</f>
        <v>14.499055264660058</v>
      </c>
      <c r="C68">
        <f>-(StageFrame!B68-Transformations!$B$4)*Transformations!$B$13+(StageFrame!C68-Transformations!$B$5)*Transformations!$B$12</f>
        <v>-47.501801806543</v>
      </c>
      <c r="D68">
        <f>StageFrame!D68</f>
        <v>0.675381729212972</v>
      </c>
    </row>
    <row r="69" spans="1:7" ht="10.5">
      <c r="A69" t="str">
        <f>StageFrame!A69</f>
        <v>zReference</v>
      </c>
      <c r="B69" t="str">
        <f>StageFrame!B69</f>
        <v>x</v>
      </c>
      <c r="C69" t="str">
        <f>StageFrame!C69</f>
        <v>y</v>
      </c>
      <c r="D69" t="str">
        <f>StageFrame!D69</f>
        <v>z</v>
      </c>
      <c r="E69" t="str">
        <f>StageFrame!E69</f>
        <v>x</v>
      </c>
      <c r="F69" t="str">
        <f>StageFrame!F69</f>
        <v>y</v>
      </c>
      <c r="G69" t="str">
        <f>StageFrame!G69</f>
        <v>z</v>
      </c>
    </row>
    <row r="70" spans="1:7" ht="10.5">
      <c r="A70">
        <f>StageFrame!A70</f>
        <v>1</v>
      </c>
      <c r="B70">
        <f>(StageFrame!B70-Transformations!$B$4)*Transformations!$B$12+(StageFrame!C70-Transformations!$B$5)*Transformations!$B$13</f>
        <v>-60.58882478437305</v>
      </c>
      <c r="C70">
        <f>-(StageFrame!B70-Transformations!$B$4)*Transformations!$B$13+(StageFrame!C70-Transformations!$B$5)*Transformations!$B$12</f>
        <v>-28.796066445388895</v>
      </c>
      <c r="D70">
        <f>StageFrame!D70</f>
        <v>0</v>
      </c>
      <c r="E70">
        <f>(StageFrame!E70-Transformations!$C$4)*Transformations!$C$12+(StageFrame!F70-Transformations!$C$5)*Transformations!$C$13</f>
        <v>-60.588424467201726</v>
      </c>
      <c r="F70">
        <f>-(StageFrame!E70-Transformations!$C$4)*Transformations!$C$13+(StageFrame!F70-Transformations!$C$5)*Transformations!$C$12</f>
        <v>-28.79408193478823</v>
      </c>
      <c r="G70">
        <f>StageFrame!G70</f>
        <v>0</v>
      </c>
    </row>
    <row r="71" spans="1:7" ht="10.5">
      <c r="A71">
        <f>StageFrame!A71</f>
        <v>2</v>
      </c>
      <c r="B71">
        <f>(StageFrame!B71-Transformations!$B$4)*Transformations!$B$12+(StageFrame!C71-Transformations!$B$5)*Transformations!$B$13</f>
        <v>59.38717812105356</v>
      </c>
      <c r="C71">
        <f>-(StageFrame!B71-Transformations!$B$4)*Transformations!$B$13+(StageFrame!C71-Transformations!$B$5)*Transformations!$B$12</f>
        <v>-31.195801188452563</v>
      </c>
      <c r="D71">
        <f>StageFrame!D71</f>
        <v>0</v>
      </c>
      <c r="E71">
        <f>(StageFrame!E71-Transformations!$C$4)*Transformations!$C$12+(StageFrame!F71-Transformations!$C$5)*Transformations!$C$13</f>
        <v>59.387578438224885</v>
      </c>
      <c r="F71">
        <f>-(StageFrame!E71-Transformations!$C$4)*Transformations!$C$13+(StageFrame!F71-Transformations!$C$5)*Transformations!$C$12</f>
        <v>-31.193816677851895</v>
      </c>
      <c r="G71">
        <f>StageFrame!G71</f>
        <v>0</v>
      </c>
    </row>
    <row r="72" spans="1:7" ht="10.5">
      <c r="A72">
        <f>StageFrame!A72</f>
        <v>3</v>
      </c>
      <c r="B72">
        <f>(StageFrame!B72-Transformations!$B$4)*Transformations!$B$12+(StageFrame!C72-Transformations!$B$5)*Transformations!$B$13</f>
        <v>60.58704549258539</v>
      </c>
      <c r="C72">
        <f>-(StageFrame!B72-Transformations!$B$4)*Transformations!$B$13+(StageFrame!C72-Transformations!$B$5)*Transformations!$B$12</f>
        <v>28.792200264260742</v>
      </c>
      <c r="D72">
        <f>StageFrame!D72</f>
        <v>0</v>
      </c>
      <c r="E72">
        <f>(StageFrame!E72-Transformations!$C$4)*Transformations!$C$12+(StageFrame!F72-Transformations!$C$5)*Transformations!$C$13</f>
        <v>60.58744580975672</v>
      </c>
      <c r="F72">
        <f>-(StageFrame!E72-Transformations!$C$4)*Transformations!$C$13+(StageFrame!F72-Transformations!$C$5)*Transformations!$C$12</f>
        <v>28.79418477486141</v>
      </c>
      <c r="G72">
        <f>StageFrame!G72</f>
        <v>0</v>
      </c>
    </row>
    <row r="73" spans="1:7" ht="10.5">
      <c r="A73" t="str">
        <f>StageFrame!A73</f>
        <v>hybrid</v>
      </c>
      <c r="B73" t="str">
        <f>StageFrame!B73</f>
        <v>x</v>
      </c>
      <c r="C73" t="str">
        <f>StageFrame!C73</f>
        <v>y</v>
      </c>
      <c r="D73" t="str">
        <f>StageFrame!D73</f>
        <v>z</v>
      </c>
      <c r="E73" t="str">
        <f>StageFrame!E73</f>
        <v>x</v>
      </c>
      <c r="F73" t="str">
        <f>StageFrame!F73</f>
        <v>y</v>
      </c>
      <c r="G73" t="str">
        <f>StageFrame!G73</f>
        <v>z</v>
      </c>
    </row>
    <row r="74" spans="1:7" ht="10.5">
      <c r="A74" t="str">
        <f>StageFrame!A74</f>
        <v>leftNear</v>
      </c>
      <c r="B74">
        <f>(StageFrame!B74-Transformations!$B$4)*Transformations!$B$12+(StageFrame!C74-Transformations!$B$5)*Transformations!$B$13</f>
        <v>7.280102297442016</v>
      </c>
      <c r="C74">
        <f>-(StageFrame!B74-Transformations!$B$4)*Transformations!$B$13+(StageFrame!C74-Transformations!$B$5)*Transformations!$B$12</f>
        <v>-32.30405036014125</v>
      </c>
      <c r="D74">
        <f>StageFrame!D74</f>
        <v>1.76612384593895</v>
      </c>
      <c r="E74">
        <f>(StageFrame!E74-Transformations!$C$4)*Transformations!$C$12+(StageFrame!F74-Transformations!$C$5)*Transformations!$C$13</f>
        <v>5.378777955491123</v>
      </c>
      <c r="F74">
        <f>-(StageFrame!E74-Transformations!$C$4)*Transformations!$C$13+(StageFrame!F74-Transformations!$C$5)*Transformations!$C$12</f>
        <v>-34.18121927967462</v>
      </c>
      <c r="G74">
        <f>StageFrame!G74</f>
        <v>1.03071438320685</v>
      </c>
    </row>
    <row r="75" spans="1:7" ht="10.5">
      <c r="A75" t="str">
        <f>StageFrame!A75</f>
        <v>rightNear</v>
      </c>
      <c r="B75">
        <f>(StageFrame!B75-Transformations!$B$4)*Transformations!$B$12+(StageFrame!C75-Transformations!$B$5)*Transformations!$B$13</f>
        <v>25.575685857049944</v>
      </c>
      <c r="C75">
        <f>-(StageFrame!B75-Transformations!$B$4)*Transformations!$B$13+(StageFrame!C75-Transformations!$B$5)*Transformations!$B$12</f>
        <v>-34.12217267703034</v>
      </c>
      <c r="D75">
        <f>StageFrame!D75</f>
        <v>1.76809961335299</v>
      </c>
      <c r="E75">
        <f>(StageFrame!E75-Transformations!$C$4)*Transformations!$C$12+(StageFrame!F75-Transformations!$C$5)*Transformations!$C$13</f>
        <v>24.20857904942844</v>
      </c>
      <c r="F75">
        <f>-(StageFrame!E75-Transformations!$C$4)*Transformations!$C$13+(StageFrame!F75-Transformations!$C$5)*Transformations!$C$12</f>
        <v>-32.00652263260488</v>
      </c>
      <c r="G75">
        <f>StageFrame!G75</f>
        <v>1.03051082664583</v>
      </c>
    </row>
    <row r="76" spans="1:7" ht="10.5">
      <c r="A76" t="str">
        <f>StageFrame!A76</f>
        <v>leftMIddle</v>
      </c>
      <c r="B76">
        <f>(StageFrame!B76-Transformations!$B$4)*Transformations!$B$12+(StageFrame!C76-Transformations!$B$5)*Transformations!$B$13</f>
        <v>8.635327343323373</v>
      </c>
      <c r="C76">
        <f>-(StageFrame!B76-Transformations!$B$4)*Transformations!$B$13+(StageFrame!C76-Transformations!$B$5)*Transformations!$B$12</f>
        <v>0.12035394222851376</v>
      </c>
      <c r="D76">
        <f>StageFrame!D76</f>
        <v>1.75407323991335</v>
      </c>
      <c r="E76">
        <f>(StageFrame!E76-Transformations!$C$4)*Transformations!$C$12+(StageFrame!F76-Transformations!$C$5)*Transformations!$C$13</f>
        <v>8.546815478477582</v>
      </c>
      <c r="F76">
        <f>-(StageFrame!E76-Transformations!$C$4)*Transformations!$C$13+(StageFrame!F76-Transformations!$C$5)*Transformations!$C$12</f>
        <v>-0.23034435942273845</v>
      </c>
      <c r="G76">
        <f>StageFrame!G76</f>
        <v>1.05261842809057</v>
      </c>
    </row>
    <row r="77" spans="1:7" ht="10.5">
      <c r="A77" t="str">
        <f>StageFrame!A77</f>
        <v>rightMiddle</v>
      </c>
      <c r="B77">
        <f>(StageFrame!B77-Transformations!$B$4)*Transformations!$B$12+(StageFrame!C77-Transformations!$B$5)*Transformations!$B$13</f>
        <v>24.78390432307786</v>
      </c>
      <c r="C77">
        <f>-(StageFrame!B77-Transformations!$B$4)*Transformations!$B$13+(StageFrame!C77-Transformations!$B$5)*Transformations!$B$12</f>
        <v>0.47889452232678886</v>
      </c>
      <c r="D77">
        <f>StageFrame!D77</f>
        <v>1.66968363693662</v>
      </c>
      <c r="E77">
        <f>(StageFrame!E77-Transformations!$C$4)*Transformations!$C$12+(StageFrame!F77-Transformations!$C$5)*Transformations!$C$13</f>
        <v>23.016482002958764</v>
      </c>
      <c r="F77">
        <f>-(StageFrame!E77-Transformations!$C$4)*Transformations!$C$13+(StageFrame!F77-Transformations!$C$5)*Transformations!$C$12</f>
        <v>-0.5218895917491378</v>
      </c>
      <c r="G77">
        <f>StageFrame!G77</f>
        <v>0.995146389576113</v>
      </c>
    </row>
    <row r="78" spans="1:7" ht="10.5">
      <c r="A78" t="str">
        <f>StageFrame!A78</f>
        <v>leftFar</v>
      </c>
      <c r="B78">
        <f>(StageFrame!B78-Transformations!$B$4)*Transformations!$B$12+(StageFrame!C78-Transformations!$B$5)*Transformations!$B$13</f>
        <v>5.846609490572039</v>
      </c>
      <c r="C78">
        <f>-(StageFrame!B78-Transformations!$B$4)*Transformations!$B$13+(StageFrame!C78-Transformations!$B$5)*Transformations!$B$12</f>
        <v>32.51596052877872</v>
      </c>
      <c r="D78">
        <f>StageFrame!D78</f>
        <v>1.76342106037609</v>
      </c>
      <c r="E78">
        <f>(StageFrame!E78-Transformations!$C$4)*Transformations!$C$12+(StageFrame!F78-Transformations!$C$5)*Transformations!$C$13</f>
        <v>7.215611917266534</v>
      </c>
      <c r="F78">
        <f>-(StageFrame!E78-Transformations!$C$4)*Transformations!$C$13+(StageFrame!F78-Transformations!$C$5)*Transformations!$C$12</f>
        <v>34.452535490609705</v>
      </c>
      <c r="G78">
        <f>StageFrame!G78</f>
        <v>1.02978898786532</v>
      </c>
    </row>
    <row r="79" spans="1:7" ht="10.5">
      <c r="A79" t="str">
        <f>StageFrame!A79</f>
        <v>rightFar</v>
      </c>
      <c r="B79">
        <f>(StageFrame!B79-Transformations!$B$4)*Transformations!$B$12+(StageFrame!C79-Transformations!$B$5)*Transformations!$B$13</f>
        <v>24.14233200515275</v>
      </c>
      <c r="C79">
        <f>-(StageFrame!B79-Transformations!$B$4)*Transformations!$B$13+(StageFrame!C79-Transformations!$B$5)*Transformations!$B$12</f>
        <v>32.40593553050327</v>
      </c>
      <c r="D79">
        <f>StageFrame!D79</f>
        <v>1.74251411185645</v>
      </c>
      <c r="E79">
        <f>(StageFrame!E79-Transformations!$C$4)*Transformations!$C$12+(StageFrame!F79-Transformations!$C$5)*Transformations!$C$13</f>
        <v>25.028231079273347</v>
      </c>
      <c r="F79">
        <f>-(StageFrame!E79-Transformations!$C$4)*Transformations!$C$13+(StageFrame!F79-Transformations!$C$5)*Transformations!$C$12</f>
        <v>34.019436731157995</v>
      </c>
      <c r="G79">
        <f>StageFrame!G79</f>
        <v>1.03990402499359</v>
      </c>
    </row>
    <row r="80" spans="1:7" ht="10.5">
      <c r="A80" t="str">
        <f>StageFrame!A80</f>
        <v>C74C73</v>
      </c>
      <c r="B80">
        <f>(StageFrame!B80-Transformations!$B$4)*Transformations!$B$12+(StageFrame!C80-Transformations!$B$5)*Transformations!$B$13</f>
        <v>6.862115784542744</v>
      </c>
      <c r="C80">
        <f>-(StageFrame!B80-Transformations!$B$4)*Transformations!$B$13+(StageFrame!C80-Transformations!$B$5)*Transformations!$B$12</f>
        <v>36.23588675403745</v>
      </c>
      <c r="D80">
        <f>StageFrame!D80</f>
        <v>2.89198664480403</v>
      </c>
      <c r="E80">
        <f>(StageFrame!E80-Transformations!$C$4)*Transformations!$C$12+(StageFrame!F80-Transformations!$C$5)*Transformations!$C$13</f>
        <v>8.391470267553991</v>
      </c>
      <c r="F80">
        <f>-(StageFrame!E80-Transformations!$C$4)*Transformations!$C$13+(StageFrame!F80-Transformations!$C$5)*Transformations!$C$12</f>
        <v>35.966804904384745</v>
      </c>
      <c r="G80">
        <f>StageFrame!G80</f>
        <v>2.15907947018536</v>
      </c>
    </row>
    <row r="81" spans="1:7" ht="10.5">
      <c r="A81" t="str">
        <f>StageFrame!A81</f>
        <v>C55C53</v>
      </c>
      <c r="B81">
        <f>(StageFrame!B81-Transformations!$B$4)*Transformations!$B$12+(StageFrame!C81-Transformations!$B$5)*Transformations!$B$13</f>
        <v>8.66017890330331</v>
      </c>
      <c r="C81">
        <f>-(StageFrame!B81-Transformations!$B$4)*Transformations!$B$13+(StageFrame!C81-Transformations!$B$5)*Transformations!$B$12</f>
        <v>33.56297120331705</v>
      </c>
      <c r="D81">
        <f>StageFrame!D81</f>
        <v>2.99227705265854</v>
      </c>
      <c r="E81">
        <f>(StageFrame!E81-Transformations!$C$4)*Transformations!$C$12+(StageFrame!F81-Transformations!$C$5)*Transformations!$C$13</f>
        <v>10.016502449772087</v>
      </c>
      <c r="F81">
        <f>-(StageFrame!E81-Transformations!$C$4)*Transformations!$C$13+(StageFrame!F81-Transformations!$C$5)*Transformations!$C$12</f>
        <v>33.15412468668459</v>
      </c>
      <c r="G81">
        <f>StageFrame!G81</f>
        <v>2.27274674937325</v>
      </c>
    </row>
    <row r="82" spans="1:7" ht="10.5">
      <c r="A82" t="str">
        <f>StageFrame!A82</f>
        <v>C56C54</v>
      </c>
      <c r="B82">
        <f>(StageFrame!B82-Transformations!$B$4)*Transformations!$B$12+(StageFrame!C82-Transformations!$B$5)*Transformations!$B$13</f>
        <v>19.14397341473833</v>
      </c>
      <c r="C82">
        <f>-(StageFrame!B82-Transformations!$B$4)*Transformations!$B$13+(StageFrame!C82-Transformations!$B$5)*Transformations!$B$12</f>
        <v>33.64759562119822</v>
      </c>
      <c r="D82">
        <f>StageFrame!D82</f>
        <v>2.9840645128761</v>
      </c>
      <c r="E82">
        <f>(StageFrame!E82-Transformations!$C$4)*Transformations!$C$12+(StageFrame!F82-Transformations!$C$5)*Transformations!$C$13</f>
        <v>20.55900529475947</v>
      </c>
      <c r="F82">
        <f>-(StageFrame!E82-Transformations!$C$4)*Transformations!$C$13+(StageFrame!F82-Transformations!$C$5)*Transformations!$C$12</f>
        <v>32.93141790512267</v>
      </c>
      <c r="G82">
        <f>StageFrame!G82</f>
        <v>2.25942843141715</v>
      </c>
    </row>
  </sheetData>
  <printOptions/>
  <pageMargins left="0.75" right="0.75" top="1" bottom="1" header="0.512" footer="0.512"/>
  <pageSetup fitToHeight="1" fitToWidth="1" orientation="portrait" paperSize="9" scale="69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workbookViewId="0" topLeftCell="A1">
      <selection activeCell="C21" sqref="C21"/>
    </sheetView>
  </sheetViews>
  <sheetFormatPr defaultColWidth="9.140625" defaultRowHeight="12"/>
  <cols>
    <col min="1" max="16384" width="12.00390625" style="0" customWidth="1"/>
  </cols>
  <sheetData>
    <row r="1" ht="10.5">
      <c r="A1" t="s">
        <v>350</v>
      </c>
    </row>
    <row r="2" spans="1:7" ht="10.5">
      <c r="A2" t="s">
        <v>351</v>
      </c>
      <c r="B2">
        <v>0.285</v>
      </c>
      <c r="F2" s="14"/>
      <c r="G2" s="14"/>
    </row>
    <row r="3" spans="1:5" ht="10.5">
      <c r="A3" t="str">
        <f>LocalFrame!$A$3</f>
        <v>RawData</v>
      </c>
      <c r="B3" t="s">
        <v>310</v>
      </c>
      <c r="D3" t="s">
        <v>352</v>
      </c>
      <c r="E3" t="s">
        <v>311</v>
      </c>
    </row>
    <row r="4" spans="1:7" ht="10.5">
      <c r="A4" t="str">
        <f>LocalFrame!A4</f>
        <v>LeftSensor</v>
      </c>
      <c r="B4" t="str">
        <f>LocalFrame!B4</f>
        <v>x</v>
      </c>
      <c r="C4" t="str">
        <f>LocalFrame!C4</f>
        <v>y</v>
      </c>
      <c r="D4" t="str">
        <f>LocalFrame!D4</f>
        <v>z</v>
      </c>
      <c r="E4" t="str">
        <f>LocalFrame!E4</f>
        <v>x</v>
      </c>
      <c r="F4" t="str">
        <f>LocalFrame!F4</f>
        <v>y</v>
      </c>
      <c r="G4" t="str">
        <f>LocalFrame!G4</f>
        <v>z</v>
      </c>
    </row>
    <row r="5" spans="1:7" ht="10.5">
      <c r="A5">
        <f>LocalFrame!A5</f>
        <v>1</v>
      </c>
      <c r="B5">
        <f>LocalFrame!B5</f>
        <v>-63.15194397493971</v>
      </c>
      <c r="C5">
        <f>LocalFrame!C5</f>
        <v>-32.82151733829031</v>
      </c>
      <c r="D5">
        <f>-(LocalFrame!D5-(Transformations!$R$19*LocalFrame!B5+Transformations!$R$20*LocalFrame!C5+Transformations!$R$21)*Transformations!$R$22)-GlobalFrame!$B$2</f>
        <v>-1.029785025035811</v>
      </c>
      <c r="E5">
        <f>LocalFrame!E5</f>
        <v>-64.41365754277321</v>
      </c>
      <c r="F5">
        <f>LocalFrame!F5</f>
        <v>-30.2679975244213</v>
      </c>
      <c r="G5">
        <f>(LocalFrame!G5-(Transformations!$R$25*LocalFrame!E5+Transformations!$R$26*LocalFrame!F5+Transformations!$R$27)*Transformations!$R$28)</f>
        <v>-0.00546071342940743</v>
      </c>
    </row>
    <row r="6" spans="1:7" ht="10.5">
      <c r="A6">
        <f>LocalFrame!A6</f>
        <v>2</v>
      </c>
      <c r="B6">
        <f>LocalFrame!B6</f>
        <v>-47.280023330980384</v>
      </c>
      <c r="C6">
        <f>LocalFrame!C6</f>
        <v>-32.504029798264995</v>
      </c>
      <c r="D6">
        <f>-(LocalFrame!D6-(Transformations!$R$19*LocalFrame!B6+Transformations!$R$20*LocalFrame!C6+Transformations!$R$21)*Transformations!$R$22)-GlobalFrame!$B$2</f>
        <v>-1.061622636918301</v>
      </c>
      <c r="E6">
        <f>LocalFrame!E6</f>
        <v>-48.541730430576145</v>
      </c>
      <c r="F6">
        <f>LocalFrame!F6</f>
        <v>-30.585401655505542</v>
      </c>
      <c r="G6">
        <f>(LocalFrame!G6-(Transformations!$R$25*LocalFrame!E6+Transformations!$R$26*LocalFrame!F6+Transformations!$R$27)*Transformations!$R$28)</f>
        <v>0.0324977226242781</v>
      </c>
    </row>
    <row r="7" spans="1:7" ht="10.5">
      <c r="A7">
        <f>LocalFrame!A7</f>
        <v>3</v>
      </c>
      <c r="B7">
        <f>LocalFrame!B7</f>
        <v>-31.40818178123216</v>
      </c>
      <c r="C7">
        <f>LocalFrame!C7</f>
        <v>-32.186636995249216</v>
      </c>
      <c r="D7">
        <f>-(LocalFrame!D7-(Transformations!$R$19*LocalFrame!B7+Transformations!$R$20*LocalFrame!C7+Transformations!$R$21)*Transformations!$R$22)-GlobalFrame!$B$2</f>
        <v>-1.0757150647605649</v>
      </c>
      <c r="E7">
        <f>LocalFrame!E7</f>
        <v>-32.66982714224453</v>
      </c>
      <c r="F7">
        <f>LocalFrame!F7</f>
        <v>-30.90290713447816</v>
      </c>
      <c r="G7">
        <f>(LocalFrame!G7-(Transformations!$R$25*LocalFrame!E7+Transformations!$R$26*LocalFrame!F7+Transformations!$R$27)*Transformations!$R$28)</f>
        <v>0.0524704834200497</v>
      </c>
    </row>
    <row r="8" spans="1:7" ht="10.5">
      <c r="A8">
        <f>LocalFrame!A8</f>
        <v>4</v>
      </c>
      <c r="B8">
        <f>LocalFrame!B8</f>
        <v>-15.536388722729335</v>
      </c>
      <c r="C8">
        <f>LocalFrame!C8</f>
        <v>-31.869141550160172</v>
      </c>
      <c r="D8">
        <f>-(LocalFrame!D8-(Transformations!$R$19*LocalFrame!B8+Transformations!$R$20*LocalFrame!C8+Transformations!$R$21)*Transformations!$R$22)-GlobalFrame!$B$2</f>
        <v>-1.0806092699049399</v>
      </c>
      <c r="E8">
        <f>LocalFrame!E8</f>
        <v>-16.797893622119243</v>
      </c>
      <c r="F8">
        <f>LocalFrame!F8</f>
        <v>-31.220413639012413</v>
      </c>
      <c r="G8">
        <f>(LocalFrame!G8-(Transformations!$R$25*LocalFrame!E8+Transformations!$R$26*LocalFrame!F8+Transformations!$R$27)*Transformations!$R$28)</f>
        <v>0.0634778941419052</v>
      </c>
    </row>
    <row r="9" spans="1:7" ht="10.5">
      <c r="A9">
        <f>LocalFrame!A9</f>
        <v>5</v>
      </c>
      <c r="B9">
        <f>LocalFrame!B9</f>
        <v>0.3354645025146119</v>
      </c>
      <c r="C9">
        <f>LocalFrame!C9</f>
        <v>-31.55164197634071</v>
      </c>
      <c r="D9">
        <f>-(LocalFrame!D9-(Transformations!$R$19*LocalFrame!B9+Transformations!$R$20*LocalFrame!C9+Transformations!$R$21)*Transformations!$R$22)-GlobalFrame!$B$2</f>
        <v>-1.075977346948885</v>
      </c>
      <c r="E9">
        <f>LocalFrame!E9</f>
        <v>-0.9261993024332327</v>
      </c>
      <c r="F9">
        <f>LocalFrame!F9</f>
        <v>-31.5378185435941</v>
      </c>
      <c r="G9">
        <f>(LocalFrame!G9-(Transformations!$R$25*LocalFrame!E9+Transformations!$R$26*LocalFrame!F9+Transformations!$R$27)*Transformations!$R$28)</f>
        <v>0.0694860387838796</v>
      </c>
    </row>
    <row r="10" spans="1:7" ht="10.5">
      <c r="A10">
        <f>LocalFrame!A10</f>
        <v>6</v>
      </c>
      <c r="B10">
        <f>LocalFrame!B10</f>
        <v>-63.467155369190955</v>
      </c>
      <c r="C10">
        <f>LocalFrame!C10</f>
        <v>-17.048594228820978</v>
      </c>
      <c r="D10">
        <f>-(LocalFrame!D10-(Transformations!$R$19*LocalFrame!B10+Transformations!$R$20*LocalFrame!C10+Transformations!$R$21)*Transformations!$R$22)-GlobalFrame!$B$2</f>
        <v>-1.045081963265842</v>
      </c>
      <c r="E10">
        <f>LocalFrame!E10</f>
        <v>-64.09804843283048</v>
      </c>
      <c r="F10">
        <f>LocalFrame!F10</f>
        <v>-14.496041252241485</v>
      </c>
      <c r="G10">
        <f>(LocalFrame!G10-(Transformations!$R$25*LocalFrame!E10+Transformations!$R$26*LocalFrame!F10+Transformations!$R$27)*Transformations!$R$28)</f>
        <v>0.0151945733520424</v>
      </c>
    </row>
    <row r="11" spans="1:7" ht="10.5">
      <c r="A11">
        <f>LocalFrame!A11</f>
        <v>7</v>
      </c>
      <c r="B11">
        <f>LocalFrame!B11</f>
        <v>-47.59544877204471</v>
      </c>
      <c r="C11">
        <f>LocalFrame!C11</f>
        <v>-16.731208379910115</v>
      </c>
      <c r="D11">
        <f>-(LocalFrame!D11-(Transformations!$R$19*LocalFrame!B11+Transformations!$R$20*LocalFrame!C11+Transformations!$R$21)*Transformations!$R$22)-GlobalFrame!$B$2</f>
        <v>-1.073849813292503</v>
      </c>
      <c r="E11">
        <f>LocalFrame!E11</f>
        <v>-48.22621211606868</v>
      </c>
      <c r="F11">
        <f>LocalFrame!F11</f>
        <v>-14.813544616546663</v>
      </c>
      <c r="G11">
        <f>(LocalFrame!G11-(Transformations!$R$25*LocalFrame!E11+Transformations!$R$26*LocalFrame!F11+Transformations!$R$27)*Transformations!$R$28)</f>
        <v>0.053196775413888</v>
      </c>
    </row>
    <row r="12" spans="1:7" ht="10.5">
      <c r="A12">
        <f>LocalFrame!A12</f>
        <v>8</v>
      </c>
      <c r="B12">
        <f>LocalFrame!B12</f>
        <v>-31.7236133032015</v>
      </c>
      <c r="C12">
        <f>LocalFrame!C12</f>
        <v>-16.413714532435623</v>
      </c>
      <c r="D12">
        <f>-(LocalFrame!D12-(Transformations!$R$19*LocalFrame!B12+Transformations!$R$20*LocalFrame!C12+Transformations!$R$21)*Transformations!$R$22)-GlobalFrame!$B$2</f>
        <v>-1.084620630346143</v>
      </c>
      <c r="E12">
        <f>LocalFrame!E12</f>
        <v>-32.354431347822256</v>
      </c>
      <c r="F12">
        <f>LocalFrame!F12</f>
        <v>-15.131049509106639</v>
      </c>
      <c r="G12">
        <f>(LocalFrame!G12-(Transformations!$R$25*LocalFrame!E12+Transformations!$R$26*LocalFrame!F12+Transformations!$R$27)*Transformations!$R$28)</f>
        <v>0.0679252476004879</v>
      </c>
    </row>
    <row r="13" spans="1:7" ht="10.5">
      <c r="A13">
        <f>LocalFrame!A13</f>
        <v>9</v>
      </c>
      <c r="B13">
        <f>LocalFrame!B13</f>
        <v>-15.851727523715104</v>
      </c>
      <c r="C13">
        <f>LocalFrame!C13</f>
        <v>-16.096416806753194</v>
      </c>
      <c r="D13">
        <f>-(LocalFrame!D13-(Transformations!$R$19*LocalFrame!B13+Transformations!$R$20*LocalFrame!C13+Transformations!$R$21)*Transformations!$R$22)-GlobalFrame!$B$2</f>
        <v>-1.0861878680408599</v>
      </c>
      <c r="E13">
        <f>LocalFrame!E13</f>
        <v>-16.48241668349551</v>
      </c>
      <c r="F13">
        <f>LocalFrame!F13</f>
        <v>-15.448557277416178</v>
      </c>
      <c r="G13">
        <f>(LocalFrame!G13-(Transformations!$R$25*LocalFrame!E13+Transformations!$R$26*LocalFrame!F13+Transformations!$R$27)*Transformations!$R$28)</f>
        <v>0.0722102028561138</v>
      </c>
    </row>
    <row r="14" spans="1:7" ht="10.5">
      <c r="A14">
        <f>LocalFrame!A14</f>
        <v>10</v>
      </c>
      <c r="B14">
        <f>LocalFrame!B14</f>
        <v>0.020121202859296694</v>
      </c>
      <c r="C14">
        <f>LocalFrame!C14</f>
        <v>-15.778817300882297</v>
      </c>
      <c r="D14">
        <f>-(LocalFrame!D14-(Transformations!$R$19*LocalFrame!B14+Transformations!$R$20*LocalFrame!C14+Transformations!$R$21)*Transformations!$R$22)-GlobalFrame!$B$2</f>
        <v>-1.081438736960382</v>
      </c>
      <c r="E14">
        <f>LocalFrame!E14</f>
        <v>-0.6106335977673891</v>
      </c>
      <c r="F14">
        <f>LocalFrame!F14</f>
        <v>-15.76596341625871</v>
      </c>
      <c r="G14">
        <f>(LocalFrame!G14-(Transformations!$R$25*LocalFrame!E14+Transformations!$R$26*LocalFrame!F14+Transformations!$R$27)*Transformations!$R$28)</f>
        <v>0.0725907675243516</v>
      </c>
    </row>
    <row r="15" spans="1:7" ht="10.5">
      <c r="A15">
        <f>LocalFrame!A15</f>
        <v>11</v>
      </c>
      <c r="B15">
        <f>LocalFrame!B15</f>
        <v>-63.782806499410576</v>
      </c>
      <c r="C15">
        <f>LocalFrame!C15</f>
        <v>-1.2757507262167171</v>
      </c>
      <c r="D15">
        <f>-(LocalFrame!D15-(Transformations!$R$19*LocalFrame!B15+Transformations!$R$20*LocalFrame!C15+Transformations!$R$21)*Transformations!$R$22)-GlobalFrame!$B$2</f>
        <v>-1.046531599496557</v>
      </c>
      <c r="E15">
        <f>LocalFrame!E15</f>
        <v>-63.78267755854324</v>
      </c>
      <c r="F15">
        <f>LocalFrame!F15</f>
        <v>1.2758107022028733</v>
      </c>
      <c r="G15">
        <f>(LocalFrame!G15-(Transformations!$R$25*LocalFrame!E15+Transformations!$R$26*LocalFrame!F15+Transformations!$R$27)*Transformations!$R$28)</f>
        <v>0.0225225464352091</v>
      </c>
    </row>
    <row r="16" spans="1:7" ht="10.5">
      <c r="A16">
        <f>LocalFrame!A16</f>
        <v>12</v>
      </c>
      <c r="B16">
        <f>LocalFrame!B16</f>
        <v>-47.91080833412271</v>
      </c>
      <c r="C16">
        <f>LocalFrame!C16</f>
        <v>-0.9583573898407879</v>
      </c>
      <c r="D16">
        <f>-(LocalFrame!D16-(Transformations!$R$19*LocalFrame!B16+Transformations!$R$20*LocalFrame!C16+Transformations!$R$21)*Transformations!$R$22)-GlobalFrame!$B$2</f>
        <v>-1.074603310157031</v>
      </c>
      <c r="E16">
        <f>LocalFrame!E16</f>
        <v>-47.91074142057422</v>
      </c>
      <c r="F16">
        <f>LocalFrame!F16</f>
        <v>0.9582076710870765</v>
      </c>
      <c r="G16">
        <f>(LocalFrame!G16-(Transformations!$R$25*LocalFrame!E16+Transformations!$R$26*LocalFrame!F16+Transformations!$R$27)*Transformations!$R$28)</f>
        <v>0.0572241091127144</v>
      </c>
    </row>
    <row r="17" spans="1:7" ht="10.5">
      <c r="A17">
        <f>LocalFrame!A17</f>
        <v>13</v>
      </c>
      <c r="B17">
        <f>LocalFrame!B17</f>
        <v>-32.03897702359148</v>
      </c>
      <c r="C17">
        <f>LocalFrame!C17</f>
        <v>-0.6408589554446946</v>
      </c>
      <c r="D17">
        <f>-(LocalFrame!D17-(Transformations!$R$19*LocalFrame!B17+Transformations!$R$20*LocalFrame!C17+Transformations!$R$21)*Transformations!$R$22)-GlobalFrame!$B$2</f>
        <v>-1.0822920628346169</v>
      </c>
      <c r="E17">
        <f>LocalFrame!E17</f>
        <v>-32.03887835881517</v>
      </c>
      <c r="F17">
        <f>LocalFrame!F17</f>
        <v>0.640803223644606</v>
      </c>
      <c r="G17">
        <f>(LocalFrame!G17-(Transformations!$R$25*LocalFrame!E17+Transformations!$R$26*LocalFrame!F17+Transformations!$R$27)*Transformations!$R$28)</f>
        <v>0.0681250373471409</v>
      </c>
    </row>
    <row r="18" spans="1:7" ht="10.5">
      <c r="A18">
        <f>LocalFrame!A18</f>
        <v>14</v>
      </c>
      <c r="B18">
        <f>LocalFrame!B18</f>
        <v>-16.167294746054946</v>
      </c>
      <c r="C18">
        <f>LocalFrame!C18</f>
        <v>-0.32336013213653214</v>
      </c>
      <c r="D18">
        <f>-(LocalFrame!D18-(Transformations!$R$19*LocalFrame!B18+Transformations!$R$20*LocalFrame!C18+Transformations!$R$21)*Transformations!$R$22)-GlobalFrame!$B$2</f>
        <v>-1.0835371956877269</v>
      </c>
      <c r="E18">
        <f>LocalFrame!E18</f>
        <v>-16.16696547646412</v>
      </c>
      <c r="F18">
        <f>LocalFrame!F18</f>
        <v>0.3232977269677051</v>
      </c>
      <c r="G18">
        <f>(LocalFrame!G18-(Transformations!$R$25*LocalFrame!E18+Transformations!$R$26*LocalFrame!F18+Transformations!$R$27)*Transformations!$R$28)</f>
        <v>0.0717669478260962</v>
      </c>
    </row>
    <row r="19" spans="1:7" ht="10.5">
      <c r="A19">
        <f>LocalFrame!A19</f>
        <v>15</v>
      </c>
      <c r="B19">
        <f>LocalFrame!B19</f>
        <v>-0.2953844039571558</v>
      </c>
      <c r="C19">
        <f>LocalFrame!C19</f>
        <v>-0.005951754838203725</v>
      </c>
      <c r="D19">
        <f>-(LocalFrame!D19-(Transformations!$R$19*LocalFrame!B19+Transformations!$R$20*LocalFrame!C19+Transformations!$R$21)*Transformations!$R$22)-GlobalFrame!$B$2</f>
        <v>-1.065898457263153</v>
      </c>
      <c r="E19">
        <f>LocalFrame!E19</f>
        <v>-0.2953184791143443</v>
      </c>
      <c r="F19">
        <f>LocalFrame!F19</f>
        <v>0.005892959370275196</v>
      </c>
      <c r="G19">
        <f>(LocalFrame!G19-(Transformations!$R$25*LocalFrame!E19+Transformations!$R$26*LocalFrame!F19+Transformations!$R$27)*Transformations!$R$28)</f>
        <v>0.0576461715763733</v>
      </c>
    </row>
    <row r="20" spans="1:7" ht="10.5">
      <c r="A20">
        <f>LocalFrame!A20</f>
        <v>16</v>
      </c>
      <c r="B20">
        <f>LocalFrame!B20</f>
        <v>-64.09817965472594</v>
      </c>
      <c r="C20">
        <f>LocalFrame!C20</f>
        <v>14.496981809178582</v>
      </c>
      <c r="D20">
        <f>-(LocalFrame!D20-(Transformations!$R$19*LocalFrame!B20+Transformations!$R$20*LocalFrame!C20+Transformations!$R$21)*Transformations!$R$22)-GlobalFrame!$B$2</f>
        <v>-1.040014411534321</v>
      </c>
      <c r="E20">
        <f>LocalFrame!E20</f>
        <v>-63.46714744926271</v>
      </c>
      <c r="F20">
        <f>LocalFrame!F20</f>
        <v>17.047466976902708</v>
      </c>
      <c r="G20">
        <f>(LocalFrame!G20-(Transformations!$R$25*LocalFrame!E20+Transformations!$R$26*LocalFrame!F20+Transformations!$R$27)*Transformations!$R$28)</f>
        <v>0.0159001925943784</v>
      </c>
    </row>
    <row r="21" spans="1:7" ht="10.5">
      <c r="A21">
        <f>LocalFrame!A21</f>
        <v>17</v>
      </c>
      <c r="B21">
        <f>LocalFrame!B21</f>
        <v>-48.22628465778156</v>
      </c>
      <c r="C21">
        <f>LocalFrame!C21</f>
        <v>14.814574108938709</v>
      </c>
      <c r="D21">
        <f>-(LocalFrame!D21-(Transformations!$R$19*LocalFrame!B21+Transformations!$R$20*LocalFrame!C21+Transformations!$R$21)*Transformations!$R$22)-GlobalFrame!$B$2</f>
        <v>-1.070008454970028</v>
      </c>
      <c r="E21">
        <f>LocalFrame!E21</f>
        <v>-47.59519334572014</v>
      </c>
      <c r="F21">
        <f>LocalFrame!F21</f>
        <v>16.730069580307653</v>
      </c>
      <c r="G21">
        <f>(LocalFrame!G21-(Transformations!$R$25*LocalFrame!E21+Transformations!$R$26*LocalFrame!F21+Transformations!$R$27)*Transformations!$R$28)</f>
        <v>0.0528496352461785</v>
      </c>
    </row>
    <row r="22" spans="1:7" ht="10.5">
      <c r="A22">
        <f>LocalFrame!A22</f>
        <v>18</v>
      </c>
      <c r="B22">
        <f>LocalFrame!B22</f>
        <v>-32.35443134481829</v>
      </c>
      <c r="C22">
        <f>LocalFrame!C22</f>
        <v>15.131971851040396</v>
      </c>
      <c r="D22">
        <f>-(LocalFrame!D22-(Transformations!$R$19*LocalFrame!B22+Transformations!$R$20*LocalFrame!C22+Transformations!$R$21)*Transformations!$R$22)-GlobalFrame!$B$2</f>
        <v>-1.083052871123505</v>
      </c>
      <c r="E22">
        <f>LocalFrame!E22</f>
        <v>-31.7234240475074</v>
      </c>
      <c r="F22">
        <f>LocalFrame!F22</f>
        <v>16.412771915433517</v>
      </c>
      <c r="G22">
        <f>(LocalFrame!G22-(Transformations!$R$25*LocalFrame!E22+Transformations!$R$26*LocalFrame!F22+Transformations!$R$27)*Transformations!$R$28)</f>
        <v>0.0684460410924238</v>
      </c>
    </row>
    <row r="23" spans="1:7" ht="10.5">
      <c r="A23">
        <f>LocalFrame!A23</f>
        <v>19</v>
      </c>
      <c r="B23">
        <f>LocalFrame!B23</f>
        <v>-16.482651552430006</v>
      </c>
      <c r="C23">
        <f>LocalFrame!C23</f>
        <v>15.449473136252484</v>
      </c>
      <c r="D23">
        <f>-(LocalFrame!D23-(Transformations!$R$19*LocalFrame!B23+Transformations!$R$20*LocalFrame!C23+Transformations!$R$21)*Transformations!$R$22)-GlobalFrame!$B$2</f>
        <v>-1.08346277503372</v>
      </c>
      <c r="E23">
        <f>LocalFrame!E23</f>
        <v>-15.851509122170874</v>
      </c>
      <c r="F23">
        <f>LocalFrame!F23</f>
        <v>16.095172074840786</v>
      </c>
      <c r="G23">
        <f>(LocalFrame!G23-(Transformations!$R$25*LocalFrame!E23+Transformations!$R$26*LocalFrame!F23+Transformations!$R$27)*Transformations!$R$28)</f>
        <v>0.073101570408907</v>
      </c>
    </row>
    <row r="24" spans="1:7" ht="10.5">
      <c r="A24">
        <f>LocalFrame!A24</f>
        <v>20</v>
      </c>
      <c r="B24">
        <f>LocalFrame!B24</f>
        <v>-0.6108023914578107</v>
      </c>
      <c r="C24">
        <f>LocalFrame!C24</f>
        <v>15.766876665558014</v>
      </c>
      <c r="D24">
        <f>-(LocalFrame!D24-(Transformations!$R$19*LocalFrame!B24+Transformations!$R$20*LocalFrame!C24+Transformations!$R$21)*Transformations!$R$22)-GlobalFrame!$B$2</f>
        <v>-1.079982079622232</v>
      </c>
      <c r="E24">
        <f>LocalFrame!E24</f>
        <v>0.020282004728733538</v>
      </c>
      <c r="F24">
        <f>LocalFrame!F24</f>
        <v>15.777672907759701</v>
      </c>
      <c r="G24">
        <f>(LocalFrame!G24-(Transformations!$R$25*LocalFrame!E24+Transformations!$R$26*LocalFrame!F24+Transformations!$R$27)*Transformations!$R$28)</f>
        <v>0.073385195374351</v>
      </c>
    </row>
    <row r="25" spans="1:7" ht="10.5">
      <c r="A25">
        <f>LocalFrame!A25</f>
        <v>21</v>
      </c>
      <c r="B25">
        <f>LocalFrame!B25</f>
        <v>-64.4137892557409</v>
      </c>
      <c r="C25">
        <f>LocalFrame!C25</f>
        <v>30.26991689273128</v>
      </c>
      <c r="D25">
        <f>-(LocalFrame!D25-(Transformations!$R$19*LocalFrame!B25+Transformations!$R$20*LocalFrame!C25+Transformations!$R$21)*Transformations!$R$22)-GlobalFrame!$B$2</f>
        <v>-1.021982252254788</v>
      </c>
      <c r="E25">
        <f>LocalFrame!E25</f>
        <v>-63.151754324724294</v>
      </c>
      <c r="F25">
        <f>LocalFrame!F25</f>
        <v>32.819416577747475</v>
      </c>
      <c r="G25">
        <f>(LocalFrame!G25-(Transformations!$R$25*LocalFrame!E25+Transformations!$R$26*LocalFrame!F25+Transformations!$R$27)*Transformations!$R$28)</f>
        <v>-0.00480267642318605</v>
      </c>
    </row>
    <row r="26" spans="1:7" ht="10.5">
      <c r="A26">
        <f>LocalFrame!A26</f>
        <v>22</v>
      </c>
      <c r="B26">
        <f>LocalFrame!B26</f>
        <v>-48.541793463347524</v>
      </c>
      <c r="C26">
        <f>LocalFrame!C26</f>
        <v>30.58740975903365</v>
      </c>
      <c r="D26">
        <f>-(LocalFrame!D26-(Transformations!$R$19*LocalFrame!B26+Transformations!$R$20*LocalFrame!C26+Transformations!$R$21)*Transformations!$R$22)-GlobalFrame!$B$2</f>
        <v>-1.053959432224328</v>
      </c>
      <c r="E26">
        <f>LocalFrame!E26</f>
        <v>-47.27988636816835</v>
      </c>
      <c r="F26">
        <f>LocalFrame!F26</f>
        <v>32.50201993891096</v>
      </c>
      <c r="G26">
        <f>(LocalFrame!G26-(Transformations!$R$25*LocalFrame!E26+Transformations!$R$26*LocalFrame!F26+Transformations!$R$27)*Transformations!$R$28)</f>
        <v>0.0335489582594551</v>
      </c>
    </row>
    <row r="27" spans="1:7" ht="10.5">
      <c r="A27">
        <f>LocalFrame!A27</f>
        <v>23</v>
      </c>
      <c r="B27">
        <f>LocalFrame!B27</f>
        <v>-32.66992233216215</v>
      </c>
      <c r="C27">
        <f>LocalFrame!C27</f>
        <v>30.904906043310934</v>
      </c>
      <c r="D27">
        <f>-(LocalFrame!D27-(Transformations!$R$19*LocalFrame!B27+Transformations!$R$20*LocalFrame!C27+Transformations!$R$21)*Transformations!$R$22)-GlobalFrame!$B$2</f>
        <v>-1.071795318653926</v>
      </c>
      <c r="E27">
        <f>LocalFrame!E27</f>
        <v>-31.408010255912426</v>
      </c>
      <c r="F27">
        <f>LocalFrame!F27</f>
        <v>32.18462175170434</v>
      </c>
      <c r="G27">
        <f>(LocalFrame!G27-(Transformations!$R$25*LocalFrame!E27+Transformations!$R$26*LocalFrame!F27+Transformations!$R$27)*Transformations!$R$28)</f>
        <v>0.0546705532552888</v>
      </c>
    </row>
    <row r="28" spans="1:7" ht="10.5">
      <c r="A28">
        <f>LocalFrame!A28</f>
        <v>24</v>
      </c>
      <c r="B28">
        <f>LocalFrame!B28</f>
        <v>-16.798023552461938</v>
      </c>
      <c r="C28">
        <f>LocalFrame!C28</f>
        <v>31.22230669905874</v>
      </c>
      <c r="D28">
        <f>-(LocalFrame!D28-(Transformations!$R$19*LocalFrame!B28+Transformations!$R$20*LocalFrame!C28+Transformations!$R$21)*Transformations!$R$22)-GlobalFrame!$B$2</f>
        <v>-1.078224951808823</v>
      </c>
      <c r="E28">
        <f>LocalFrame!E28</f>
        <v>-15.536176231975357</v>
      </c>
      <c r="F28">
        <f>LocalFrame!F28</f>
        <v>31.867023088639943</v>
      </c>
      <c r="G28">
        <f>(LocalFrame!G28-(Transformations!$R$25*LocalFrame!E28+Transformations!$R$26*LocalFrame!F28+Transformations!$R$27)*Transformations!$R$28)</f>
        <v>0.0661354172317423</v>
      </c>
    </row>
    <row r="29" spans="1:7" ht="10.5">
      <c r="A29">
        <f>LocalFrame!A29</f>
        <v>25</v>
      </c>
      <c r="B29">
        <f>LocalFrame!B29</f>
        <v>-0.9262713309385185</v>
      </c>
      <c r="C29">
        <f>LocalFrame!C29</f>
        <v>31.53980814560915</v>
      </c>
      <c r="D29">
        <f>-(LocalFrame!D29-(Transformations!$R$19*LocalFrame!B29+Transformations!$R$20*LocalFrame!C29+Transformations!$R$21)*Transformations!$R$22)-GlobalFrame!$B$2</f>
        <v>-1.077189845789895</v>
      </c>
      <c r="E29">
        <f>LocalFrame!E29</f>
        <v>0.33562971602385233</v>
      </c>
      <c r="F29">
        <f>LocalFrame!F29</f>
        <v>31.549524019205258</v>
      </c>
      <c r="G29">
        <f>(LocalFrame!G29-(Transformations!$R$25*LocalFrame!E29+Transformations!$R$26*LocalFrame!F29+Transformations!$R$27)*Transformations!$R$28)</f>
        <v>0.0700838076343606</v>
      </c>
    </row>
    <row r="30" spans="1:7" ht="10.5">
      <c r="A30" t="str">
        <f>LocalFrame!A30</f>
        <v>RightSensor</v>
      </c>
      <c r="B30" t="str">
        <f>LocalFrame!B30</f>
        <v>x</v>
      </c>
      <c r="C30" t="str">
        <f>LocalFrame!C30</f>
        <v>y</v>
      </c>
      <c r="D30" t="str">
        <f>LocalFrame!D30</f>
        <v>z</v>
      </c>
      <c r="E30" t="str">
        <f>LocalFrame!E30</f>
        <v>x</v>
      </c>
      <c r="F30" t="str">
        <f>LocalFrame!F30</f>
        <v>y</v>
      </c>
      <c r="G30" t="str">
        <f>LocalFrame!G30</f>
        <v>z</v>
      </c>
    </row>
    <row r="31" spans="1:7" ht="10.5">
      <c r="A31">
        <f>LocalFrame!A31</f>
        <v>1</v>
      </c>
      <c r="B31">
        <f>LocalFrame!B31</f>
        <v>0.9255457066028239</v>
      </c>
      <c r="C31">
        <f>LocalFrame!C31</f>
        <v>-31.53976537955834</v>
      </c>
      <c r="D31">
        <f>-(LocalFrame!D31-(Transformations!$R$19*LocalFrame!B31+Transformations!$R$20*LocalFrame!C31+Transformations!$R$21)*Transformations!$R$22)-GlobalFrame!$B$2</f>
        <v>-1.075395010150665</v>
      </c>
      <c r="E31">
        <f>LocalFrame!E31</f>
        <v>-0.3361936857558773</v>
      </c>
      <c r="F31">
        <f>LocalFrame!F31</f>
        <v>-31.54961118543774</v>
      </c>
      <c r="G31">
        <f>(LocalFrame!G31-(Transformations!$R$25*LocalFrame!E31+Transformations!$R$26*LocalFrame!F31+Transformations!$R$27)*Transformations!$R$28)</f>
        <v>0.0689443755058901</v>
      </c>
    </row>
    <row r="32" spans="1:7" ht="10.5">
      <c r="A32">
        <f>LocalFrame!A32</f>
        <v>2</v>
      </c>
      <c r="B32">
        <f>LocalFrame!B32</f>
        <v>16.800342972330707</v>
      </c>
      <c r="C32">
        <f>LocalFrame!C32</f>
        <v>-31.22258260395461</v>
      </c>
      <c r="D32">
        <f>-(LocalFrame!D32-(Transformations!$R$19*LocalFrame!B32+Transformations!$R$20*LocalFrame!C32+Transformations!$R$21)*Transformations!$R$22)-GlobalFrame!$B$2</f>
        <v>-1.077886603852265</v>
      </c>
      <c r="E32">
        <f>LocalFrame!E32</f>
        <v>15.538447843825978</v>
      </c>
      <c r="F32">
        <f>LocalFrame!F32</f>
        <v>-31.86695609736633</v>
      </c>
      <c r="G32">
        <f>(LocalFrame!G32-(Transformations!$R$25*LocalFrame!E32+Transformations!$R$26*LocalFrame!F32+Transformations!$R$27)*Transformations!$R$28)</f>
        <v>0.05949812988961675</v>
      </c>
    </row>
    <row r="33" spans="1:7" ht="10.5">
      <c r="A33">
        <f>LocalFrame!A33</f>
        <v>3</v>
      </c>
      <c r="B33">
        <f>LocalFrame!B33</f>
        <v>32.66921307517788</v>
      </c>
      <c r="C33">
        <f>LocalFrame!C33</f>
        <v>-30.904871767714358</v>
      </c>
      <c r="D33">
        <f>-(LocalFrame!D33-(Transformations!$R$19*LocalFrame!B33+Transformations!$R$20*LocalFrame!C33+Transformations!$R$21)*Transformations!$R$22)-GlobalFrame!$B$2</f>
        <v>-1.0803781975538649</v>
      </c>
      <c r="E33">
        <f>LocalFrame!E33</f>
        <v>31.407269982697667</v>
      </c>
      <c r="F33">
        <f>LocalFrame!F33</f>
        <v>-32.18442428325894</v>
      </c>
      <c r="G33">
        <f>(LocalFrame!G33-(Transformations!$R$25*LocalFrame!E33+Transformations!$R$26*LocalFrame!F33+Transformations!$R$27)*Transformations!$R$28)</f>
        <v>0.0500518842733434</v>
      </c>
    </row>
    <row r="34" spans="1:7" ht="10.5">
      <c r="A34">
        <f>LocalFrame!A34</f>
        <v>4</v>
      </c>
      <c r="B34">
        <f>LocalFrame!B34</f>
        <v>48.54100164435347</v>
      </c>
      <c r="C34">
        <f>LocalFrame!C34</f>
        <v>-30.587269747830128</v>
      </c>
      <c r="D34">
        <f>-(LocalFrame!D34-(Transformations!$R$19*LocalFrame!B34+Transformations!$R$20*LocalFrame!C34+Transformations!$R$21)*Transformations!$R$22)-GlobalFrame!$B$2</f>
        <v>-1.066523166107317</v>
      </c>
      <c r="E34">
        <f>LocalFrame!E34</f>
        <v>47.279019089373435</v>
      </c>
      <c r="F34">
        <f>LocalFrame!F34</f>
        <v>-32.501931683701606</v>
      </c>
      <c r="G34">
        <f>(LocalFrame!G34-(Transformations!$R$25*LocalFrame!E34+Transformations!$R$26*LocalFrame!F34+Transformations!$R$27)*Transformations!$R$28)</f>
        <v>0.0324509873644867</v>
      </c>
    </row>
    <row r="35" spans="1:7" ht="10.5">
      <c r="A35">
        <f>LocalFrame!A35</f>
        <v>5</v>
      </c>
      <c r="B35">
        <f>LocalFrame!B35</f>
        <v>64.4128041682969</v>
      </c>
      <c r="C35">
        <f>LocalFrame!C35</f>
        <v>-30.269760453768118</v>
      </c>
      <c r="D35">
        <f>-(LocalFrame!D35-(Transformations!$R$19*LocalFrame!B35+Transformations!$R$20*LocalFrame!C35+Transformations!$R$21)*Transformations!$R$22)-GlobalFrame!$B$2</f>
        <v>-1.0325677963285769</v>
      </c>
      <c r="E35">
        <f>LocalFrame!E35</f>
        <v>63.150840204098195</v>
      </c>
      <c r="F35">
        <f>LocalFrame!F35</f>
        <v>-32.819441410379866</v>
      </c>
      <c r="G35">
        <f>(LocalFrame!G35-(Transformations!$R$25*LocalFrame!E35+Transformations!$R$26*LocalFrame!F35+Transformations!$R$27)*Transformations!$R$28)</f>
        <v>-0.00514713427233598</v>
      </c>
    </row>
    <row r="36" spans="1:7" ht="10.5">
      <c r="A36">
        <f>LocalFrame!A36</f>
        <v>6</v>
      </c>
      <c r="B36">
        <f>LocalFrame!B36</f>
        <v>0.61020309930421</v>
      </c>
      <c r="C36">
        <f>LocalFrame!C36</f>
        <v>-15.76684092673437</v>
      </c>
      <c r="D36">
        <f>-(LocalFrame!D36-(Transformations!$R$19*LocalFrame!B36+Transformations!$R$20*LocalFrame!C36+Transformations!$R$21)*Transformations!$R$22)-GlobalFrame!$B$2</f>
        <v>-1.081521495318253</v>
      </c>
      <c r="E36">
        <f>LocalFrame!E36</f>
        <v>-0.020826109619933864</v>
      </c>
      <c r="F36">
        <f>LocalFrame!F36</f>
        <v>-15.77775432472318</v>
      </c>
      <c r="G36">
        <f>(LocalFrame!G36-(Transformations!$R$25*LocalFrame!E36+Transformations!$R$26*LocalFrame!F36+Transformations!$R$27)*Transformations!$R$28)</f>
        <v>0.0727123492194927</v>
      </c>
    </row>
    <row r="37" spans="1:7" ht="10.5">
      <c r="A37">
        <f>LocalFrame!A37</f>
        <v>7</v>
      </c>
      <c r="B37">
        <f>LocalFrame!B37</f>
        <v>16.486329417075112</v>
      </c>
      <c r="C37">
        <f>LocalFrame!C37</f>
        <v>-15.449913445505356</v>
      </c>
      <c r="D37">
        <f>-(LocalFrame!D37-(Transformations!$R$19*LocalFrame!B37+Transformations!$R$20*LocalFrame!C37+Transformations!$R$21)*Transformations!$R$22)-GlobalFrame!$B$2</f>
        <v>-1.0851590076797735</v>
      </c>
      <c r="E37">
        <f>LocalFrame!E37</f>
        <v>15.855240164960106</v>
      </c>
      <c r="F37">
        <f>LocalFrame!F37</f>
        <v>-16.095067977542804</v>
      </c>
      <c r="G37">
        <f>(LocalFrame!G37-(Transformations!$R$25*LocalFrame!E37+Transformations!$R$26*LocalFrame!F37+Transformations!$R$27)*Transformations!$R$28)</f>
        <v>0.0673688282395053</v>
      </c>
    </row>
    <row r="38" spans="1:7" ht="10.5">
      <c r="A38">
        <f>LocalFrame!A38</f>
        <v>8</v>
      </c>
      <c r="B38">
        <f>LocalFrame!B38</f>
        <v>32.35385891940766</v>
      </c>
      <c r="C38">
        <f>LocalFrame!C38</f>
        <v>-15.13184838164373</v>
      </c>
      <c r="D38">
        <f>-(LocalFrame!D38-(Transformations!$R$19*LocalFrame!B38+Transformations!$R$20*LocalFrame!C38+Transformations!$R$21)*Transformations!$R$22)-GlobalFrame!$B$2</f>
        <v>-1.088796520041294</v>
      </c>
      <c r="E38">
        <f>LocalFrame!E38</f>
        <v>31.722986572600846</v>
      </c>
      <c r="F38">
        <f>LocalFrame!F38</f>
        <v>-16.41266967638403</v>
      </c>
      <c r="G38">
        <f>(LocalFrame!G38-(Transformations!$R$25*LocalFrame!E38+Transformations!$R$26*LocalFrame!F38+Transformations!$R$27)*Transformations!$R$28)</f>
        <v>0.0620253072595179</v>
      </c>
    </row>
    <row r="39" spans="1:7" ht="10.5">
      <c r="A39">
        <f>LocalFrame!A39</f>
        <v>9</v>
      </c>
      <c r="B39">
        <f>LocalFrame!B39</f>
        <v>48.22567512141082</v>
      </c>
      <c r="C39">
        <f>LocalFrame!C39</f>
        <v>-14.814448032569544</v>
      </c>
      <c r="D39">
        <f>-(LocalFrame!D39-(Transformations!$R$19*LocalFrame!B39+Transformations!$R$20*LocalFrame!C39+Transformations!$R$21)*Transformations!$R$22)-GlobalFrame!$B$2</f>
        <v>-1.080462277436517</v>
      </c>
      <c r="E39">
        <f>LocalFrame!E39</f>
        <v>47.59453032677087</v>
      </c>
      <c r="F39">
        <f>LocalFrame!F39</f>
        <v>-16.730075096976105</v>
      </c>
      <c r="G39">
        <f>(LocalFrame!G39-(Transformations!$R$25*LocalFrame!E39+Transformations!$R$26*LocalFrame!F39+Transformations!$R$27)*Transformations!$R$28)</f>
        <v>0.0471854643692051</v>
      </c>
    </row>
    <row r="40" spans="1:7" ht="10.5">
      <c r="A40">
        <f>LocalFrame!A40</f>
        <v>10</v>
      </c>
      <c r="B40">
        <f>LocalFrame!B40</f>
        <v>64.09738478241084</v>
      </c>
      <c r="C40">
        <f>LocalFrame!C40</f>
        <v>-14.497040682792926</v>
      </c>
      <c r="D40">
        <f>-(LocalFrame!D40-(Transformations!$R$19*LocalFrame!B40+Transformations!$R$20*LocalFrame!C40+Transformations!$R$21)*Transformations!$R$22)-GlobalFrame!$B$2</f>
        <v>-1.048498213012746</v>
      </c>
      <c r="E40">
        <f>LocalFrame!E40</f>
        <v>63.46625280409201</v>
      </c>
      <c r="F40">
        <f>LocalFrame!F40</f>
        <v>-17.04768392660442</v>
      </c>
      <c r="G40">
        <f>(LocalFrame!G40-(Transformations!$R$25*LocalFrame!E40+Transformations!$R$26*LocalFrame!F40+Transformations!$R$27)*Transformations!$R$28)</f>
        <v>0.0103755520272636</v>
      </c>
    </row>
    <row r="41" spans="1:7" ht="10.5">
      <c r="A41">
        <f>LocalFrame!A41</f>
        <v>11</v>
      </c>
      <c r="B41">
        <f>LocalFrame!B41</f>
        <v>0.29472257654556</v>
      </c>
      <c r="C41">
        <f>LocalFrame!C41</f>
        <v>0.006022065033231618</v>
      </c>
      <c r="D41">
        <f>-(LocalFrame!D41-(Transformations!$R$19*LocalFrame!B41+Transformations!$R$20*LocalFrame!C41+Transformations!$R$21)*Transformations!$R$22)-GlobalFrame!$B$2</f>
        <v>-1.074496857748563</v>
      </c>
      <c r="E41">
        <f>LocalFrame!E41</f>
        <v>0.29471570935365904</v>
      </c>
      <c r="F41">
        <f>LocalFrame!F41</f>
        <v>-0.005799016332283941</v>
      </c>
      <c r="G41">
        <f>(LocalFrame!G41-(Transformations!$R$25*LocalFrame!E41+Transformations!$R$26*LocalFrame!F41+Transformations!$R$27)*Transformations!$R$28)</f>
        <v>0.0669935253056366</v>
      </c>
    </row>
    <row r="42" spans="1:7" ht="10.5">
      <c r="A42">
        <f>LocalFrame!A42</f>
        <v>12</v>
      </c>
      <c r="B42">
        <f>LocalFrame!B42</f>
        <v>16.169526259168073</v>
      </c>
      <c r="C42">
        <f>LocalFrame!C42</f>
        <v>0.3232060590248266</v>
      </c>
      <c r="D42">
        <f>-(LocalFrame!D42-(Transformations!$R$19*LocalFrame!B42+Transformations!$R$20*LocalFrame!C42+Transformations!$R$21)*Transformations!$R$22)-GlobalFrame!$B$2</f>
        <v>-1.0803339936064789</v>
      </c>
      <c r="E42">
        <f>LocalFrame!E42</f>
        <v>16.16922062922288</v>
      </c>
      <c r="F42">
        <f>LocalFrame!F42</f>
        <v>-0.3233399590275907</v>
      </c>
      <c r="G42">
        <f>(LocalFrame!G42-(Transformations!$R$25*LocalFrame!E42+Transformations!$R$26*LocalFrame!F42+Transformations!$R$27)*Transformations!$R$28)</f>
        <v>0.06462945187121485</v>
      </c>
    </row>
    <row r="43" spans="1:7" ht="10.5">
      <c r="A43">
        <f>LocalFrame!A43</f>
        <v>13</v>
      </c>
      <c r="B43">
        <f>LocalFrame!B43</f>
        <v>32.03847548838434</v>
      </c>
      <c r="C43">
        <f>LocalFrame!C43</f>
        <v>0.6409213775830069</v>
      </c>
      <c r="D43">
        <f>-(LocalFrame!D43-(Transformations!$R$19*LocalFrame!B43+Transformations!$R$20*LocalFrame!C43+Transformations!$R$21)*Transformations!$R$22)-GlobalFrame!$B$2</f>
        <v>-1.086171129464395</v>
      </c>
      <c r="E43">
        <f>LocalFrame!E43</f>
        <v>32.038270262413164</v>
      </c>
      <c r="F43">
        <f>LocalFrame!F43</f>
        <v>-0.6409087506425272</v>
      </c>
      <c r="G43">
        <f>(LocalFrame!G43-(Transformations!$R$25*LocalFrame!E43+Transformations!$R$26*LocalFrame!F43+Transformations!$R$27)*Transformations!$R$28)</f>
        <v>0.0622653784367931</v>
      </c>
    </row>
    <row r="44" spans="1:7" ht="10.5">
      <c r="A44">
        <f>LocalFrame!A44</f>
        <v>14</v>
      </c>
      <c r="B44">
        <f>LocalFrame!B44</f>
        <v>47.9102022172562</v>
      </c>
      <c r="C44">
        <f>LocalFrame!C44</f>
        <v>0.9584237893597624</v>
      </c>
      <c r="D44">
        <f>-(LocalFrame!D44-(Transformations!$R$19*LocalFrame!B44+Transformations!$R$20*LocalFrame!C44+Transformations!$R$21)*Transformations!$R$22)-GlobalFrame!$B$2</f>
        <v>-1.0788555064575729</v>
      </c>
      <c r="E44">
        <f>LocalFrame!E44</f>
        <v>47.91010628195618</v>
      </c>
      <c r="F44">
        <f>LocalFrame!F44</f>
        <v>-0.9582150123052416</v>
      </c>
      <c r="G44">
        <f>(LocalFrame!G44-(Transformations!$R$25*LocalFrame!E44+Transformations!$R$26*LocalFrame!F44+Transformations!$R$27)*Transformations!$R$28)</f>
        <v>0.0493196182821177</v>
      </c>
    </row>
    <row r="45" spans="1:7" ht="10.5">
      <c r="A45">
        <f>LocalFrame!A45</f>
        <v>15</v>
      </c>
      <c r="B45">
        <f>LocalFrame!B45</f>
        <v>63.782015399321814</v>
      </c>
      <c r="C45">
        <f>LocalFrame!C45</f>
        <v>1.275935426811267</v>
      </c>
      <c r="D45">
        <f>-(LocalFrame!D45-(Transformations!$R$19*LocalFrame!B45+Transformations!$R$20*LocalFrame!C45+Transformations!$R$21)*Transformations!$R$22)-GlobalFrame!$B$2</f>
        <v>-1.048533168721195</v>
      </c>
      <c r="E45">
        <f>LocalFrame!E45</f>
        <v>63.78173622646484</v>
      </c>
      <c r="F45">
        <f>LocalFrame!F45</f>
        <v>-1.2758213642179166</v>
      </c>
      <c r="G45">
        <f>(LocalFrame!G45-(Transformations!$R$25*LocalFrame!E45+Transformations!$R$26*LocalFrame!F45+Transformations!$R$27)*Transformations!$R$28)</f>
        <v>0.0151690723521093</v>
      </c>
    </row>
    <row r="46" spans="1:7" ht="10.5">
      <c r="A46">
        <f>LocalFrame!A46</f>
        <v>16</v>
      </c>
      <c r="B46">
        <f>LocalFrame!B46</f>
        <v>-0.020630087828865495</v>
      </c>
      <c r="C46">
        <f>LocalFrame!C46</f>
        <v>15.778955365351157</v>
      </c>
      <c r="D46">
        <f>-(LocalFrame!D46-(Transformations!$R$19*LocalFrame!B46+Transformations!$R$20*LocalFrame!C46+Transformations!$R$21)*Transformations!$R$22)-GlobalFrame!$B$2</f>
        <v>-1.077242820105612</v>
      </c>
      <c r="E46">
        <f>LocalFrame!E46</f>
        <v>0.6100869028976863</v>
      </c>
      <c r="F46">
        <f>LocalFrame!F46</f>
        <v>15.765882203631442</v>
      </c>
      <c r="G46">
        <f>(LocalFrame!G46-(Transformations!$R$25*LocalFrame!E46+Transformations!$R$26*LocalFrame!F46+Transformations!$R$27)*Transformations!$R$28)</f>
        <v>0.0725821939554841</v>
      </c>
    </row>
    <row r="47" spans="1:7" ht="10.5">
      <c r="A47">
        <f>LocalFrame!A47</f>
        <v>17</v>
      </c>
      <c r="B47">
        <f>LocalFrame!B47</f>
        <v>15.855495348854996</v>
      </c>
      <c r="C47">
        <f>LocalFrame!C47</f>
        <v>16.095885832102898</v>
      </c>
      <c r="D47">
        <f>-(LocalFrame!D47-(Transformations!$R$19*LocalFrame!B47+Transformations!$R$20*LocalFrame!C47+Transformations!$R$21)*Transformations!$R$22)-GlobalFrame!$B$2</f>
        <v>-1.0802527693452975</v>
      </c>
      <c r="E47">
        <f>LocalFrame!E47</f>
        <v>16.486028992721216</v>
      </c>
      <c r="F47">
        <f>LocalFrame!F47</f>
        <v>15.448675248723136</v>
      </c>
      <c r="G47">
        <f>(LocalFrame!G47-(Transformations!$R$25*LocalFrame!E47+Transformations!$R$26*LocalFrame!F47+Transformations!$R$27)*Transformations!$R$28)</f>
        <v>0.06967366841213316</v>
      </c>
    </row>
    <row r="48" spans="1:7" ht="10.5">
      <c r="A48">
        <f>LocalFrame!A48</f>
        <v>18</v>
      </c>
      <c r="B48">
        <f>LocalFrame!B48</f>
        <v>31.722990371716413</v>
      </c>
      <c r="C48">
        <f>LocalFrame!C48</f>
        <v>16.413756850014536</v>
      </c>
      <c r="D48">
        <f>-(LocalFrame!D48-(Transformations!$R$19*LocalFrame!B48+Transformations!$R$20*LocalFrame!C48+Transformations!$R$21)*Transformations!$R$22)-GlobalFrame!$B$2</f>
        <v>-1.083262718584983</v>
      </c>
      <c r="E48">
        <f>LocalFrame!E48</f>
        <v>32.35386703592832</v>
      </c>
      <c r="F48">
        <f>LocalFrame!F48</f>
        <v>15.130981648372666</v>
      </c>
      <c r="G48">
        <f>(LocalFrame!G48-(Transformations!$R$25*LocalFrame!E48+Transformations!$R$26*LocalFrame!F48+Transformations!$R$27)*Transformations!$R$28)</f>
        <v>0.0667651428687822</v>
      </c>
    </row>
    <row r="49" spans="1:7" ht="10.5">
      <c r="A49">
        <f>LocalFrame!A49</f>
        <v>19</v>
      </c>
      <c r="B49">
        <f>LocalFrame!B49</f>
        <v>47.59481254799315</v>
      </c>
      <c r="C49">
        <f>LocalFrame!C49</f>
        <v>16.73116314973404</v>
      </c>
      <c r="D49">
        <f>-(LocalFrame!D49-(Transformations!$R$19*LocalFrame!B49+Transformations!$R$20*LocalFrame!C49+Transformations!$R$21)*Transformations!$R$22)-GlobalFrame!$B$2</f>
        <v>-1.070975035142963</v>
      </c>
      <c r="E49">
        <f>LocalFrame!E49</f>
        <v>48.22547707261362</v>
      </c>
      <c r="F49">
        <f>LocalFrame!F49</f>
        <v>14.813482559017016</v>
      </c>
      <c r="G49">
        <f>(LocalFrame!G49-(Transformations!$R$25*LocalFrame!E49+Transformations!$R$26*LocalFrame!F49+Transformations!$R$27)*Transformations!$R$28)</f>
        <v>0.0501078160087366</v>
      </c>
    </row>
    <row r="50" spans="1:7" ht="10.5">
      <c r="A50">
        <f>LocalFrame!A50</f>
        <v>20</v>
      </c>
      <c r="B50">
        <f>LocalFrame!B50</f>
        <v>63.46651539239153</v>
      </c>
      <c r="C50">
        <f>LocalFrame!C50</f>
        <v>17.048675559612697</v>
      </c>
      <c r="D50">
        <f>-(LocalFrame!D50-(Transformations!$R$19*LocalFrame!B50+Transformations!$R$20*LocalFrame!C50+Transformations!$R$21)*Transformations!$R$22)-GlobalFrame!$B$2</f>
        <v>-1.0371463526969529</v>
      </c>
      <c r="E50">
        <f>LocalFrame!E50</f>
        <v>64.09720148752182</v>
      </c>
      <c r="F50">
        <f>LocalFrame!F50</f>
        <v>14.49618075411195</v>
      </c>
      <c r="G50">
        <f>(LocalFrame!G50-(Transformations!$R$25*LocalFrame!E50+Transformations!$R$26*LocalFrame!F50+Transformations!$R$27)*Transformations!$R$28)</f>
        <v>0.0130623337581677</v>
      </c>
    </row>
    <row r="51" spans="1:7" ht="10.5">
      <c r="A51">
        <f>LocalFrame!A51</f>
        <v>21</v>
      </c>
      <c r="B51">
        <f>LocalFrame!B51</f>
        <v>-0.3361960586246079</v>
      </c>
      <c r="C51">
        <f>LocalFrame!C51</f>
        <v>31.55168554578235</v>
      </c>
      <c r="D51">
        <f>-(LocalFrame!D51-(Transformations!$R$19*LocalFrame!B51+Transformations!$R$20*LocalFrame!C51+Transformations!$R$21)*Transformations!$R$22)-GlobalFrame!$B$2</f>
        <v>-1.074594623833693</v>
      </c>
      <c r="E51">
        <f>LocalFrame!E51</f>
        <v>0.9255405230072519</v>
      </c>
      <c r="F51">
        <f>LocalFrame!F51</f>
        <v>31.537732596683853</v>
      </c>
      <c r="G51">
        <f>(LocalFrame!G51-(Transformations!$R$25*LocalFrame!E51+Transformations!$R$26*LocalFrame!F51+Transformations!$R$27)*Transformations!$R$28)</f>
        <v>0.0713905065319661</v>
      </c>
    </row>
    <row r="52" spans="1:7" ht="10.5">
      <c r="A52">
        <f>LocalFrame!A52</f>
        <v>22</v>
      </c>
      <c r="B52">
        <f>LocalFrame!B52</f>
        <v>15.538530467688247</v>
      </c>
      <c r="C52">
        <f>LocalFrame!C52</f>
        <v>31.868977024855475</v>
      </c>
      <c r="D52">
        <f>-(LocalFrame!D52-(Transformations!$R$19*LocalFrame!B52+Transformations!$R$20*LocalFrame!C52+Transformations!$R$21)*Transformations!$R$22)-GlobalFrame!$B$2</f>
        <v>-1.0693506710715899</v>
      </c>
      <c r="E52">
        <f>LocalFrame!E52</f>
        <v>16.800096782676974</v>
      </c>
      <c r="F52">
        <f>LocalFrame!F52</f>
        <v>31.220294567442313</v>
      </c>
      <c r="G52">
        <f>(LocalFrame!G52-(Transformations!$R$25*LocalFrame!E52+Transformations!$R$26*LocalFrame!F52+Transformations!$R$27)*Transformations!$R$28)</f>
        <v>0.0672456251129451</v>
      </c>
    </row>
    <row r="53" spans="1:7" ht="10.5">
      <c r="A53">
        <f>LocalFrame!A53</f>
        <v>23</v>
      </c>
      <c r="B53">
        <f>LocalFrame!B53</f>
        <v>31.40745617788914</v>
      </c>
      <c r="C53">
        <f>LocalFrame!C53</f>
        <v>32.18669328610534</v>
      </c>
      <c r="D53">
        <f>-(LocalFrame!D53-(Transformations!$R$19*LocalFrame!B53+Transformations!$R$20*LocalFrame!C53+Transformations!$R$21)*Transformations!$R$22)-GlobalFrame!$B$2</f>
        <v>-1.064106718309487</v>
      </c>
      <c r="E53">
        <f>LocalFrame!E53</f>
        <v>32.66924140253971</v>
      </c>
      <c r="F53">
        <f>LocalFrame!F53</f>
        <v>30.902932317986338</v>
      </c>
      <c r="G53">
        <f>(LocalFrame!G53-(Transformations!$R$25*LocalFrame!E53+Transformations!$R$26*LocalFrame!F53+Transformations!$R$27)*Transformations!$R$28)</f>
        <v>0.0631007436939241</v>
      </c>
    </row>
    <row r="54" spans="1:7" ht="10.5">
      <c r="A54">
        <f>LocalFrame!A54</f>
        <v>24</v>
      </c>
      <c r="B54">
        <f>LocalFrame!B54</f>
        <v>47.27917143715493</v>
      </c>
      <c r="C54">
        <f>LocalFrame!C54</f>
        <v>32.5041999798442</v>
      </c>
      <c r="D54">
        <f>-(LocalFrame!D54-(Transformations!$R$19*LocalFrame!B54+Transformations!$R$20*LocalFrame!C54+Transformations!$R$21)*Transformations!$R$22)-GlobalFrame!$B$2</f>
        <v>-1.046898294129112</v>
      </c>
      <c r="E54">
        <f>LocalFrame!E54</f>
        <v>48.54092389859155</v>
      </c>
      <c r="F54">
        <f>LocalFrame!F54</f>
        <v>30.585432106622353</v>
      </c>
      <c r="G54">
        <f>(LocalFrame!G54-(Transformations!$R$25*LocalFrame!E54+Transformations!$R$26*LocalFrame!F54+Transformations!$R$27)*Transformations!$R$28)</f>
        <v>0.0415831159569139</v>
      </c>
    </row>
    <row r="55" spans="1:7" ht="10.5">
      <c r="A55">
        <f>LocalFrame!A55</f>
        <v>25</v>
      </c>
      <c r="B55">
        <f>LocalFrame!B55</f>
        <v>63.150871171380075</v>
      </c>
      <c r="C55">
        <f>LocalFrame!C55</f>
        <v>32.82161286572926</v>
      </c>
      <c r="D55">
        <f>-(LocalFrame!D55-(Transformations!$R$19*LocalFrame!B55+Transformations!$R$20*LocalFrame!C55+Transformations!$R$21)*Transformations!$R$22)-GlobalFrame!$B$2</f>
        <v>-1.011583736814997</v>
      </c>
      <c r="E55">
        <f>LocalFrame!E55</f>
        <v>64.4127405353783</v>
      </c>
      <c r="F55">
        <f>LocalFrame!F55</f>
        <v>30.268029216165814</v>
      </c>
      <c r="G55">
        <f>(LocalFrame!G55-(Transformations!$R$25*LocalFrame!E55+Transformations!$R$26*LocalFrame!F55+Transformations!$R$27)*Transformations!$R$28)</f>
        <v>0.00206500440033278</v>
      </c>
    </row>
    <row r="56" spans="1:7" ht="10.5">
      <c r="A56" t="str">
        <f>LocalFrame!A56</f>
        <v>Facings</v>
      </c>
      <c r="B56" t="str">
        <f>LocalFrame!B56</f>
        <v>x</v>
      </c>
      <c r="C56" t="str">
        <f>LocalFrame!C56</f>
        <v>y</v>
      </c>
      <c r="D56" t="str">
        <f>LocalFrame!D56</f>
        <v>z</v>
      </c>
      <c r="E56" t="str">
        <f>LocalFrame!E56</f>
        <v>x</v>
      </c>
      <c r="F56" t="str">
        <f>LocalFrame!F56</f>
        <v>y</v>
      </c>
      <c r="G56" t="str">
        <f>LocalFrame!G56</f>
        <v>z</v>
      </c>
    </row>
    <row r="57" spans="1:7" ht="10.5">
      <c r="A57">
        <f>LocalFrame!A57</f>
        <v>1</v>
      </c>
      <c r="B57">
        <f>LocalFrame!B57</f>
        <v>-6.500779753532772</v>
      </c>
      <c r="C57">
        <f>LocalFrame!C57</f>
        <v>-37.00191386762457</v>
      </c>
      <c r="D57">
        <f>-(LocalFrame!D57-(Transformations!$R$19*LocalFrame!B57+Transformations!$R$20*LocalFrame!C57+Transformations!$R$21)*Transformations!$R$22)-GlobalFrame!$B$2</f>
        <v>-0.9868206634754468</v>
      </c>
      <c r="E57">
        <f>LocalFrame!E57</f>
        <v>-6.500426477198902</v>
      </c>
      <c r="F57">
        <f>LocalFrame!F57</f>
        <v>-37.00005097257646</v>
      </c>
      <c r="G57">
        <f>(LocalFrame!G57-(Transformations!$R$25*LocalFrame!E57+Transformations!$R$26*LocalFrame!F57+Transformations!$R$27)*Transformations!$R$28)</f>
        <v>-0.04403918933992687</v>
      </c>
    </row>
    <row r="58" spans="1:7" ht="10.5">
      <c r="A58">
        <f>LocalFrame!A58</f>
        <v>2</v>
      </c>
      <c r="B58">
        <f>LocalFrame!B58</f>
        <v>38.499165996394744</v>
      </c>
      <c r="C58">
        <f>LocalFrame!C58</f>
        <v>-37.25181991674809</v>
      </c>
      <c r="D58">
        <f>-(LocalFrame!D58-(Transformations!$R$19*LocalFrame!B58+Transformations!$R$20*LocalFrame!C58+Transformations!$R$21)*Transformations!$R$22)-GlobalFrame!$B$2</f>
        <v>-0.9645604323699466</v>
      </c>
      <c r="E58">
        <f>LocalFrame!E58</f>
        <v>38.49955127498698</v>
      </c>
      <c r="F58">
        <f>LocalFrame!F58</f>
        <v>-37.24995370280063</v>
      </c>
      <c r="G58">
        <f>(LocalFrame!G58-(Transformations!$R$25*LocalFrame!E58+Transformations!$R$26*LocalFrame!F58+Transformations!$R$27)*Transformations!$R$28)</f>
        <v>-0.03637847492324928</v>
      </c>
    </row>
    <row r="59" spans="1:7" ht="10.5">
      <c r="A59">
        <f>LocalFrame!A59</f>
        <v>3</v>
      </c>
      <c r="B59">
        <f>LocalFrame!B59</f>
        <v>-0.0012224925794426245</v>
      </c>
      <c r="C59">
        <f>LocalFrame!C59</f>
        <v>35.514715567122465</v>
      </c>
      <c r="D59">
        <f>-(LocalFrame!D59-(Transformations!$R$19*LocalFrame!B59+Transformations!$R$20*LocalFrame!C59+Transformations!$R$21)*Transformations!$R$22)-GlobalFrame!$B$2</f>
        <v>-0.9724388661213816</v>
      </c>
      <c r="E59">
        <f>LocalFrame!E59</f>
        <v>-0.0009447652452018174</v>
      </c>
      <c r="F59">
        <f>LocalFrame!F59</f>
        <v>35.51658591874565</v>
      </c>
      <c r="G59">
        <f>(LocalFrame!G59-(Transformations!$R$25*LocalFrame!E59+Transformations!$R$26*LocalFrame!F59+Transformations!$R$27)*Transformations!$R$28)</f>
        <v>-0.03852279121703276</v>
      </c>
    </row>
    <row r="60" spans="1:7" ht="10.5">
      <c r="A60" t="str">
        <f>LocalFrame!A60</f>
        <v>facingPlane</v>
      </c>
      <c r="B60" t="str">
        <f>LocalFrame!B60</f>
        <v>x</v>
      </c>
      <c r="C60" t="str">
        <f>LocalFrame!C60</f>
        <v>y</v>
      </c>
      <c r="D60" t="str">
        <f>LocalFrame!D60</f>
        <v>z</v>
      </c>
      <c r="E60" t="str">
        <f>LocalFrame!E60</f>
        <v>x</v>
      </c>
      <c r="F60" t="str">
        <f>LocalFrame!F60</f>
        <v>y</v>
      </c>
      <c r="G60" t="str">
        <f>LocalFrame!G60</f>
        <v>z</v>
      </c>
    </row>
    <row r="61" spans="1:7" ht="10.5">
      <c r="A61">
        <f>LocalFrame!A61</f>
        <v>1</v>
      </c>
      <c r="B61">
        <f>LocalFrame!B61</f>
        <v>-6.500779740752685</v>
      </c>
      <c r="C61">
        <f>LocalFrame!C61</f>
        <v>-34.00196355060312</v>
      </c>
      <c r="D61">
        <f>-(LocalFrame!D61-(Transformations!$R$19*LocalFrame!B61+Transformations!$R$20*LocalFrame!C61+Transformations!$R$21)*Transformations!$R$22)-GlobalFrame!$B$2</f>
        <v>-0.9899995112830515</v>
      </c>
      <c r="E61">
        <f>LocalFrame!E61</f>
        <v>-6.5003797615292465</v>
      </c>
      <c r="F61">
        <f>LocalFrame!F61</f>
        <v>-34.000094855981146</v>
      </c>
      <c r="G61">
        <f>(LocalFrame!G61-(Transformations!$R$25*LocalFrame!E61+Transformations!$R$26*LocalFrame!F61+Transformations!$R$27)*Transformations!$R$28)</f>
        <v>-0.048450737226116744</v>
      </c>
    </row>
    <row r="62" spans="1:7" ht="10.5">
      <c r="A62">
        <f>LocalFrame!A62</f>
        <v>2</v>
      </c>
      <c r="B62">
        <f>LocalFrame!B62</f>
        <v>-6.500779766312858</v>
      </c>
      <c r="C62">
        <f>LocalFrame!C62</f>
        <v>-40.00186418464602</v>
      </c>
      <c r="D62">
        <f>-(LocalFrame!D62-(Transformations!$R$19*LocalFrame!B62+Transformations!$R$20*LocalFrame!C62+Transformations!$R$21)*Transformations!$R$22)-GlobalFrame!$B$2</f>
        <v>-0.9836418156678419</v>
      </c>
      <c r="E62">
        <f>LocalFrame!E62</f>
        <v>-6.500473192868559</v>
      </c>
      <c r="F62">
        <f>LocalFrame!F62</f>
        <v>-40.00000708917177</v>
      </c>
      <c r="G62">
        <f>(LocalFrame!G62-(Transformations!$R$25*LocalFrame!E62+Transformations!$R$26*LocalFrame!F62+Transformations!$R$27)*Transformations!$R$28)</f>
        <v>-0.039627641453737</v>
      </c>
    </row>
    <row r="63" spans="1:7" ht="10.5">
      <c r="A63">
        <f>LocalFrame!A63</f>
        <v>3</v>
      </c>
      <c r="B63">
        <f>LocalFrame!B63</f>
        <v>-4.251399747197272</v>
      </c>
      <c r="C63">
        <f>LocalFrame!C63</f>
        <v>-47.55185433806013</v>
      </c>
      <c r="D63">
        <f>-(LocalFrame!D63-(Transformations!$R$19*LocalFrame!B63+Transformations!$R$20*LocalFrame!C63+Transformations!$R$21)*Transformations!$R$22)-GlobalFrame!$B$2</f>
        <v>-0.9647510119082645</v>
      </c>
      <c r="E63">
        <f>LocalFrame!E63</f>
        <v>-3.977070455190086</v>
      </c>
      <c r="F63">
        <f>LocalFrame!F63</f>
        <v>-47.555550822847465</v>
      </c>
      <c r="G63">
        <f>(LocalFrame!G63-(Transformations!$R$25*LocalFrame!E63+Transformations!$R$26*LocalFrame!F63+Transformations!$R$27)*Transformations!$R$28)</f>
        <v>-0.0202695535313724</v>
      </c>
    </row>
    <row r="64" spans="1:7" ht="10.5">
      <c r="A64">
        <f>LocalFrame!A64</f>
        <v>4</v>
      </c>
      <c r="B64">
        <f>LocalFrame!B64</f>
        <v>38.49913199691213</v>
      </c>
      <c r="C64">
        <f>LocalFrame!C64</f>
        <v>-34.50178406166571</v>
      </c>
      <c r="D64">
        <f>-(LocalFrame!D64-(Transformations!$R$19*LocalFrame!B64+Transformations!$R$20*LocalFrame!C64+Transformations!$R$21)*Transformations!$R$22)-GlobalFrame!$B$2</f>
        <v>-0.9658502657531174</v>
      </c>
      <c r="E64">
        <f>LocalFrame!E64</f>
        <v>38.49956475601759</v>
      </c>
      <c r="F64">
        <f>LocalFrame!F64</f>
        <v>-34.49996006355233</v>
      </c>
      <c r="G64">
        <f>(LocalFrame!G64-(Transformations!$R$25*LocalFrame!E64+Transformations!$R$26*LocalFrame!F64+Transformations!$R$27)*Transformations!$R$28)</f>
        <v>-0.03713381018514545</v>
      </c>
    </row>
    <row r="65" spans="1:7" ht="10.5">
      <c r="A65">
        <f>LocalFrame!A65</f>
        <v>5</v>
      </c>
      <c r="B65">
        <f>LocalFrame!B65</f>
        <v>38.49919999587733</v>
      </c>
      <c r="C65">
        <f>LocalFrame!C65</f>
        <v>-40.001855771830456</v>
      </c>
      <c r="D65">
        <f>-(LocalFrame!D65-(Transformations!$R$19*LocalFrame!B65+Transformations!$R$20*LocalFrame!C65+Transformations!$R$21)*Transformations!$R$22)-GlobalFrame!$B$2</f>
        <v>-0.963270598986776</v>
      </c>
      <c r="E65">
        <f>LocalFrame!E65</f>
        <v>38.49953779395636</v>
      </c>
      <c r="F65">
        <f>LocalFrame!F65</f>
        <v>-39.99994734204893</v>
      </c>
      <c r="G65">
        <f>(LocalFrame!G65-(Transformations!$R$25*LocalFrame!E65+Transformations!$R$26*LocalFrame!F65+Transformations!$R$27)*Transformations!$R$28)</f>
        <v>-0.035623139661353095</v>
      </c>
    </row>
    <row r="66" spans="1:7" ht="10.5">
      <c r="A66">
        <f>LocalFrame!A66</f>
        <v>6</v>
      </c>
      <c r="B66">
        <f>LocalFrame!B66</f>
        <v>34.74965744567183</v>
      </c>
      <c r="C66">
        <f>LocalFrame!C66</f>
        <v>-47.45185643669752</v>
      </c>
      <c r="D66">
        <f>-(LocalFrame!D66-(Transformations!$R$19*LocalFrame!B66+Transformations!$R$20*LocalFrame!C66+Transformations!$R$21)*Transformations!$R$22)-GlobalFrame!$B$2</f>
        <v>-0.9615964615316954</v>
      </c>
      <c r="E66">
        <f>LocalFrame!E66</f>
        <v>34.529229941356704</v>
      </c>
      <c r="F66">
        <f>LocalFrame!F66</f>
        <v>-47.445593858529705</v>
      </c>
      <c r="G66">
        <f>(LocalFrame!G66-(Transformations!$R$25*LocalFrame!E66+Transformations!$R$26*LocalFrame!F66+Transformations!$R$27)*Transformations!$R$28)</f>
        <v>-0.0298588042701039</v>
      </c>
    </row>
    <row r="67" spans="1:4" ht="10.5">
      <c r="A67">
        <f>LocalFrame!A67</f>
        <v>7</v>
      </c>
      <c r="B67">
        <f>LocalFrame!B67</f>
        <v>14.49916628741753</v>
      </c>
      <c r="C67">
        <f>LocalFrame!C67</f>
        <v>-40.001862868605336</v>
      </c>
      <c r="D67">
        <f>-(LocalFrame!D67-(Transformations!$R$19*LocalFrame!B67+Transformations!$R$20*LocalFrame!C67+Transformations!$R$21)*Transformations!$R$22)-GlobalFrame!$B$2</f>
        <v>-0.970492205682721</v>
      </c>
    </row>
    <row r="68" spans="1:4" ht="10.5">
      <c r="A68">
        <f>LocalFrame!A68</f>
        <v>8</v>
      </c>
      <c r="B68">
        <f>LocalFrame!B68</f>
        <v>14.499055264660058</v>
      </c>
      <c r="C68">
        <f>LocalFrame!C68</f>
        <v>-47.501801806543</v>
      </c>
      <c r="D68">
        <f>-(LocalFrame!D68-(Transformations!$R$19*LocalFrame!B68+Transformations!$R$20*LocalFrame!C68+Transformations!$R$21)*Transformations!$R$22)-GlobalFrame!$B$2</f>
        <v>-0.9603817292129719</v>
      </c>
    </row>
    <row r="69" spans="1:7" ht="10.5">
      <c r="A69" t="str">
        <f>LocalFrame!A69</f>
        <v>zReference</v>
      </c>
      <c r="B69" t="str">
        <f>LocalFrame!B69</f>
        <v>x</v>
      </c>
      <c r="C69" t="str">
        <f>LocalFrame!C69</f>
        <v>y</v>
      </c>
      <c r="D69" t="str">
        <f>LocalFrame!D69</f>
        <v>z</v>
      </c>
      <c r="E69" t="str">
        <f>LocalFrame!E69</f>
        <v>x</v>
      </c>
      <c r="F69" t="str">
        <f>LocalFrame!F69</f>
        <v>y</v>
      </c>
      <c r="G69" t="str">
        <f>LocalFrame!G69</f>
        <v>z</v>
      </c>
    </row>
    <row r="70" spans="1:7" ht="10.5">
      <c r="A70">
        <f>LocalFrame!A70</f>
        <v>1</v>
      </c>
      <c r="B70">
        <f>LocalFrame!B70</f>
        <v>-60.58882478437305</v>
      </c>
      <c r="C70">
        <f>LocalFrame!C70</f>
        <v>-28.796066445388895</v>
      </c>
      <c r="D70">
        <f>-(LocalFrame!D70-(Transformations!$R$19*LocalFrame!B70+Transformations!$R$20*LocalFrame!C70+Transformations!$R$21)*Transformations!$R$22)-GlobalFrame!$B$2</f>
        <v>-0.285</v>
      </c>
      <c r="E70">
        <f>LocalFrame!E70</f>
        <v>-60.588424467201726</v>
      </c>
      <c r="F70">
        <f>LocalFrame!F70</f>
        <v>-28.79408193478823</v>
      </c>
      <c r="G70">
        <f>(LocalFrame!G70-(Transformations!$R$25*LocalFrame!E70+Transformations!$R$26*LocalFrame!F70+Transformations!$R$27)*Transformations!$R$28)</f>
        <v>0</v>
      </c>
    </row>
    <row r="71" spans="1:7" ht="10.5">
      <c r="A71">
        <f>LocalFrame!A71</f>
        <v>2</v>
      </c>
      <c r="B71">
        <f>LocalFrame!B71</f>
        <v>59.38717812105356</v>
      </c>
      <c r="C71">
        <f>LocalFrame!C71</f>
        <v>-31.195801188452563</v>
      </c>
      <c r="D71">
        <f>-(LocalFrame!D71-(Transformations!$R$19*LocalFrame!B71+Transformations!$R$20*LocalFrame!C71+Transformations!$R$21)*Transformations!$R$22)-GlobalFrame!$B$2</f>
        <v>-0.285</v>
      </c>
      <c r="E71">
        <f>LocalFrame!E71</f>
        <v>59.387578438224885</v>
      </c>
      <c r="F71">
        <f>LocalFrame!F71</f>
        <v>-31.193816677851895</v>
      </c>
      <c r="G71">
        <f>(LocalFrame!G71-(Transformations!$R$25*LocalFrame!E71+Transformations!$R$26*LocalFrame!F71+Transformations!$R$27)*Transformations!$R$28)</f>
        <v>0</v>
      </c>
    </row>
    <row r="72" spans="1:7" ht="10.5">
      <c r="A72">
        <f>LocalFrame!A72</f>
        <v>3</v>
      </c>
      <c r="B72">
        <f>LocalFrame!B72</f>
        <v>60.58704549258539</v>
      </c>
      <c r="C72">
        <f>LocalFrame!C72</f>
        <v>28.792200264260742</v>
      </c>
      <c r="D72">
        <f>-(LocalFrame!D72-(Transformations!$R$19*LocalFrame!B72+Transformations!$R$20*LocalFrame!C72+Transformations!$R$21)*Transformations!$R$22)-GlobalFrame!$B$2</f>
        <v>-0.285</v>
      </c>
      <c r="E72">
        <f>LocalFrame!E72</f>
        <v>60.58744580975672</v>
      </c>
      <c r="F72">
        <f>LocalFrame!F72</f>
        <v>28.79418477486141</v>
      </c>
      <c r="G72">
        <f>(LocalFrame!G72-(Transformations!$R$25*LocalFrame!E72+Transformations!$R$26*LocalFrame!F72+Transformations!$R$27)*Transformations!$R$28)</f>
        <v>0</v>
      </c>
    </row>
    <row r="73" spans="1:7" ht="10.5">
      <c r="A73" t="str">
        <f>LocalFrame!A73</f>
        <v>hybrid</v>
      </c>
      <c r="B73" t="str">
        <f>LocalFrame!B73</f>
        <v>x</v>
      </c>
      <c r="C73" t="str">
        <f>LocalFrame!C73</f>
        <v>y</v>
      </c>
      <c r="D73" t="str">
        <f>LocalFrame!D73</f>
        <v>z</v>
      </c>
      <c r="E73" t="str">
        <f>LocalFrame!E73</f>
        <v>x</v>
      </c>
      <c r="F73" t="str">
        <f>LocalFrame!F73</f>
        <v>y</v>
      </c>
      <c r="G73" t="str">
        <f>LocalFrame!G73</f>
        <v>z</v>
      </c>
    </row>
    <row r="74" spans="1:7" ht="10.5">
      <c r="A74" t="str">
        <f>LocalFrame!A74</f>
        <v>leftNear</v>
      </c>
      <c r="B74">
        <f>LocalFrame!B74</f>
        <v>7.280102297442016</v>
      </c>
      <c r="C74">
        <f>LocalFrame!C74</f>
        <v>-32.30405036014125</v>
      </c>
      <c r="D74">
        <f>-(LocalFrame!D74-(Transformations!$R$19*LocalFrame!B74+Transformations!$R$20*LocalFrame!C74+Transformations!$R$21)*Transformations!$R$22)-GlobalFrame!$B$2</f>
        <v>-2.05112384593895</v>
      </c>
      <c r="E74">
        <f>LocalFrame!E74</f>
        <v>5.378777955491123</v>
      </c>
      <c r="F74">
        <f>LocalFrame!F74</f>
        <v>-34.18121927967462</v>
      </c>
      <c r="G74">
        <f>(LocalFrame!G74-(Transformations!$R$25*LocalFrame!E74+Transformations!$R$26*LocalFrame!F74+Transformations!$R$27)*Transformations!$R$28)</f>
        <v>1.03071438320685</v>
      </c>
    </row>
    <row r="75" spans="1:7" ht="10.5">
      <c r="A75" t="str">
        <f>LocalFrame!A75</f>
        <v>rightNear</v>
      </c>
      <c r="B75">
        <f>LocalFrame!B75</f>
        <v>25.575685857049944</v>
      </c>
      <c r="C75">
        <f>LocalFrame!C75</f>
        <v>-34.12217267703034</v>
      </c>
      <c r="D75">
        <f>-(LocalFrame!D75-(Transformations!$R$19*LocalFrame!B75+Transformations!$R$20*LocalFrame!C75+Transformations!$R$21)*Transformations!$R$22)-GlobalFrame!$B$2</f>
        <v>-2.05309961335299</v>
      </c>
      <c r="E75">
        <f>LocalFrame!E75</f>
        <v>24.20857904942844</v>
      </c>
      <c r="F75">
        <f>LocalFrame!F75</f>
        <v>-32.00652263260488</v>
      </c>
      <c r="G75">
        <f>(LocalFrame!G75-(Transformations!$R$25*LocalFrame!E75+Transformations!$R$26*LocalFrame!F75+Transformations!$R$27)*Transformations!$R$28)</f>
        <v>1.03051082664583</v>
      </c>
    </row>
    <row r="76" spans="1:7" ht="10.5">
      <c r="A76" t="str">
        <f>LocalFrame!A76</f>
        <v>leftMIddle</v>
      </c>
      <c r="B76">
        <f>LocalFrame!B76</f>
        <v>8.635327343323373</v>
      </c>
      <c r="C76">
        <f>LocalFrame!C76</f>
        <v>0.12035394222851376</v>
      </c>
      <c r="D76">
        <f>-(LocalFrame!D76-(Transformations!$R$19*LocalFrame!B76+Transformations!$R$20*LocalFrame!C76+Transformations!$R$21)*Transformations!$R$22)-GlobalFrame!$B$2</f>
        <v>-2.03907323991335</v>
      </c>
      <c r="E76">
        <f>LocalFrame!E76</f>
        <v>8.546815478477582</v>
      </c>
      <c r="F76">
        <f>LocalFrame!F76</f>
        <v>-0.23034435942273845</v>
      </c>
      <c r="G76">
        <f>(LocalFrame!G76-(Transformations!$R$25*LocalFrame!E76+Transformations!$R$26*LocalFrame!F76+Transformations!$R$27)*Transformations!$R$28)</f>
        <v>1.05261842809057</v>
      </c>
    </row>
    <row r="77" spans="1:7" ht="10.5">
      <c r="A77" t="str">
        <f>LocalFrame!A77</f>
        <v>rightMiddle</v>
      </c>
      <c r="B77">
        <f>LocalFrame!B77</f>
        <v>24.78390432307786</v>
      </c>
      <c r="C77">
        <f>LocalFrame!C77</f>
        <v>0.47889452232678886</v>
      </c>
      <c r="D77">
        <f>-(LocalFrame!D77-(Transformations!$R$19*LocalFrame!B77+Transformations!$R$20*LocalFrame!C77+Transformations!$R$21)*Transformations!$R$22)-GlobalFrame!$B$2</f>
        <v>-1.9546836369366198</v>
      </c>
      <c r="E77">
        <f>LocalFrame!E77</f>
        <v>23.016482002958764</v>
      </c>
      <c r="F77">
        <f>LocalFrame!F77</f>
        <v>-0.5218895917491378</v>
      </c>
      <c r="G77">
        <f>(LocalFrame!G77-(Transformations!$R$25*LocalFrame!E77+Transformations!$R$26*LocalFrame!F77+Transformations!$R$27)*Transformations!$R$28)</f>
        <v>0.995146389576113</v>
      </c>
    </row>
    <row r="78" spans="1:7" ht="10.5">
      <c r="A78" t="str">
        <f>LocalFrame!A78</f>
        <v>leftFar</v>
      </c>
      <c r="B78">
        <f>LocalFrame!B78</f>
        <v>5.846609490572039</v>
      </c>
      <c r="C78">
        <f>LocalFrame!C78</f>
        <v>32.51596052877872</v>
      </c>
      <c r="D78">
        <f>-(LocalFrame!D78-(Transformations!$R$19*LocalFrame!B78+Transformations!$R$20*LocalFrame!C78+Transformations!$R$21)*Transformations!$R$22)-GlobalFrame!$B$2</f>
        <v>-2.04842106037609</v>
      </c>
      <c r="E78">
        <f>LocalFrame!E78</f>
        <v>7.215611917266534</v>
      </c>
      <c r="F78">
        <f>LocalFrame!F78</f>
        <v>34.452535490609705</v>
      </c>
      <c r="G78">
        <f>(LocalFrame!G78-(Transformations!$R$25*LocalFrame!E78+Transformations!$R$26*LocalFrame!F78+Transformations!$R$27)*Transformations!$R$28)</f>
        <v>1.02978898786532</v>
      </c>
    </row>
    <row r="79" spans="1:7" ht="10.5">
      <c r="A79" t="str">
        <f>LocalFrame!A79</f>
        <v>rightFar</v>
      </c>
      <c r="B79">
        <f>LocalFrame!B79</f>
        <v>24.14233200515275</v>
      </c>
      <c r="C79">
        <f>LocalFrame!C79</f>
        <v>32.40593553050327</v>
      </c>
      <c r="D79">
        <f>-(LocalFrame!D79-(Transformations!$R$19*LocalFrame!B79+Transformations!$R$20*LocalFrame!C79+Transformations!$R$21)*Transformations!$R$22)-GlobalFrame!$B$2</f>
        <v>-2.02751411185645</v>
      </c>
      <c r="E79">
        <f>LocalFrame!E79</f>
        <v>25.028231079273347</v>
      </c>
      <c r="F79">
        <f>LocalFrame!F79</f>
        <v>34.019436731157995</v>
      </c>
      <c r="G79">
        <f>(LocalFrame!G79-(Transformations!$R$25*LocalFrame!E79+Transformations!$R$26*LocalFrame!F79+Transformations!$R$27)*Transformations!$R$28)</f>
        <v>1.03990402499359</v>
      </c>
    </row>
    <row r="80" spans="1:7" ht="10.5">
      <c r="A80" t="str">
        <f>LocalFrame!A80</f>
        <v>C74C73</v>
      </c>
      <c r="B80">
        <f>LocalFrame!B80</f>
        <v>6.862115784542744</v>
      </c>
      <c r="C80">
        <f>LocalFrame!C80</f>
        <v>36.23588675403745</v>
      </c>
      <c r="D80">
        <f>-(LocalFrame!D80-(Transformations!$R$19*LocalFrame!B80+Transformations!$R$20*LocalFrame!C80+Transformations!$R$21)*Transformations!$R$22)-GlobalFrame!$B$2</f>
        <v>-3.17698664480403</v>
      </c>
      <c r="E80">
        <f>LocalFrame!E80</f>
        <v>8.391470267553991</v>
      </c>
      <c r="F80">
        <f>LocalFrame!F80</f>
        <v>35.966804904384745</v>
      </c>
      <c r="G80">
        <f>(LocalFrame!G80-(Transformations!$R$25*LocalFrame!E80+Transformations!$R$26*LocalFrame!F80+Transformations!$R$27)*Transformations!$R$28)</f>
        <v>2.15907947018536</v>
      </c>
    </row>
    <row r="81" spans="1:7" ht="10.5">
      <c r="A81" t="str">
        <f>LocalFrame!A81</f>
        <v>C55C53</v>
      </c>
      <c r="B81">
        <f>LocalFrame!B81</f>
        <v>8.66017890330331</v>
      </c>
      <c r="C81">
        <f>LocalFrame!C81</f>
        <v>33.56297120331705</v>
      </c>
      <c r="D81">
        <f>-(LocalFrame!D81-(Transformations!$R$19*LocalFrame!B81+Transformations!$R$20*LocalFrame!C81+Transformations!$R$21)*Transformations!$R$22)-GlobalFrame!$B$2</f>
        <v>-3.27727705265854</v>
      </c>
      <c r="E81">
        <f>LocalFrame!E81</f>
        <v>10.016502449772087</v>
      </c>
      <c r="F81">
        <f>LocalFrame!F81</f>
        <v>33.15412468668459</v>
      </c>
      <c r="G81">
        <f>(LocalFrame!G81-(Transformations!$R$25*LocalFrame!E81+Transformations!$R$26*LocalFrame!F81+Transformations!$R$27)*Transformations!$R$28)</f>
        <v>2.27274674937325</v>
      </c>
    </row>
    <row r="82" spans="1:7" ht="10.5">
      <c r="A82" t="str">
        <f>LocalFrame!A82</f>
        <v>C56C54</v>
      </c>
      <c r="B82">
        <f>LocalFrame!B82</f>
        <v>19.14397341473833</v>
      </c>
      <c r="C82">
        <f>LocalFrame!C82</f>
        <v>33.64759562119822</v>
      </c>
      <c r="D82">
        <f>-(LocalFrame!D82-(Transformations!$R$19*LocalFrame!B82+Transformations!$R$20*LocalFrame!C82+Transformations!$R$21)*Transformations!$R$22)-GlobalFrame!$B$2</f>
        <v>-3.2690645128761</v>
      </c>
      <c r="E82">
        <f>LocalFrame!E82</f>
        <v>20.55900529475947</v>
      </c>
      <c r="F82">
        <f>LocalFrame!F82</f>
        <v>32.93141790512267</v>
      </c>
      <c r="G82">
        <f>(LocalFrame!G82-(Transformations!$R$25*LocalFrame!E82+Transformations!$R$26*LocalFrame!F82+Transformations!$R$27)*Transformations!$R$28)</f>
        <v>2.25942843141715</v>
      </c>
    </row>
  </sheetData>
  <printOptions/>
  <pageMargins left="0.75" right="0.75" top="1" bottom="1" header="0.512" footer="0.512"/>
  <pageSetup fitToHeight="1" fitToWidth="1" orientation="portrait" paperSize="9" scale="69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HEP Group</cp:lastModifiedBy>
  <cp:lastPrinted>2003-01-07T13:35:38Z</cp:lastPrinted>
  <dcterms:created xsi:type="dcterms:W3CDTF">2002-12-08T17:39:14Z</dcterms:created>
  <dcterms:modified xsi:type="dcterms:W3CDTF">2003-07-22T08:51:19Z</dcterms:modified>
  <cp:category/>
  <cp:version/>
  <cp:contentType/>
  <cp:contentStatus/>
</cp:coreProperties>
</file>